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I:\Documents\"/>
    </mc:Choice>
  </mc:AlternateContent>
  <xr:revisionPtr revIDLastSave="0" documentId="8_{8A00C61D-C7A6-483B-B689-080E36C29E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rekening" sheetId="36" r:id="rId1"/>
    <sheet name="Berekening schaal 50" sheetId="38" r:id="rId2"/>
    <sheet name="Berekening slaapdienst gedeeld" sheetId="39" r:id="rId3"/>
    <sheet name="Zorgrooster" sheetId="37" r:id="rId4"/>
    <sheet name=" 20,25 per dag en 3,5 uur" sheetId="30" state="hidden" r:id="rId5"/>
    <sheet name=" 13,9 per dag en 3,75 uur" sheetId="35" state="hidden" r:id="rId6"/>
    <sheet name=" 7,95 per dag en 4 uur" sheetId="34" state="hidden" r:id="rId7"/>
    <sheet name="form" sheetId="17" state="hidden" r:id="rId8"/>
  </sheets>
  <externalReferences>
    <externalReference r:id="rId9"/>
  </externalReferences>
  <definedNames>
    <definedName name="_xlnm.Print_Area" localSheetId="5">' 13,9 per dag en 3,75 uur'!$A$1:$I$74</definedName>
    <definedName name="_xlnm.Print_Area" localSheetId="4">' 20,25 per dag en 3,5 uur'!$A$1:$I$74</definedName>
    <definedName name="_xlnm.Print_Area" localSheetId="6">' 7,95 per dag en 4 uur'!$A$1:$I$74</definedName>
    <definedName name="_xlnm.Print_Area" localSheetId="0">Berekening!$A$1:$I$57</definedName>
    <definedName name="_xlnm.Print_Area" localSheetId="1">'Berekening schaal 50'!$A$1:$I$57</definedName>
    <definedName name="_xlnm.Print_Area" localSheetId="2">'Berekening slaapdienst gedeeld'!$A$1:$I$57</definedName>
    <definedName name="Lijst_Functie">[1]Parameters!$B$20:$B$37</definedName>
    <definedName name="Lijst_Tijdstip">[1]Parameters!$E$20:$E$68</definedName>
    <definedName name="Norm_Effectief">[1]Parameters!$C$14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9" l="1"/>
  <c r="F51" i="39"/>
  <c r="E51" i="39"/>
  <c r="F50" i="39"/>
  <c r="E50" i="39"/>
  <c r="D49" i="39"/>
  <c r="F49" i="39" s="1"/>
  <c r="F48" i="39"/>
  <c r="E48" i="39"/>
  <c r="D47" i="39"/>
  <c r="E47" i="39" s="1"/>
  <c r="F45" i="39"/>
  <c r="D39" i="39"/>
  <c r="F39" i="39" s="1"/>
  <c r="F38" i="39"/>
  <c r="E38" i="39"/>
  <c r="B22" i="39"/>
  <c r="B21" i="39"/>
  <c r="B20" i="39"/>
  <c r="D42" i="39" s="1"/>
  <c r="F51" i="38"/>
  <c r="E51" i="38"/>
  <c r="F50" i="38"/>
  <c r="E50" i="38"/>
  <c r="D49" i="38"/>
  <c r="F49" i="38" s="1"/>
  <c r="F48" i="38"/>
  <c r="E48" i="38"/>
  <c r="D47" i="38"/>
  <c r="E47" i="38" s="1"/>
  <c r="F45" i="38"/>
  <c r="D39" i="38"/>
  <c r="F39" i="38" s="1"/>
  <c r="F38" i="38"/>
  <c r="E38" i="38"/>
  <c r="B22" i="38"/>
  <c r="B21" i="38"/>
  <c r="B20" i="38"/>
  <c r="D42" i="38" s="1"/>
  <c r="F45" i="36"/>
  <c r="F48" i="36"/>
  <c r="F50" i="36"/>
  <c r="F51" i="36"/>
  <c r="F38" i="36"/>
  <c r="D49" i="36"/>
  <c r="F49" i="36" s="1"/>
  <c r="D47" i="36"/>
  <c r="F47" i="36" s="1"/>
  <c r="E47" i="36"/>
  <c r="E48" i="36"/>
  <c r="E50" i="36"/>
  <c r="E51" i="36"/>
  <c r="E38" i="36"/>
  <c r="D39" i="36"/>
  <c r="E39" i="36" s="1"/>
  <c r="B22" i="36"/>
  <c r="B21" i="36"/>
  <c r="B20" i="36"/>
  <c r="D42" i="36" s="1"/>
  <c r="E42" i="36" s="1"/>
  <c r="BK65" i="37"/>
  <c r="BJ65" i="37"/>
  <c r="BI65" i="37"/>
  <c r="BH65" i="37"/>
  <c r="BG65" i="37"/>
  <c r="BK64" i="37"/>
  <c r="BJ64" i="37"/>
  <c r="BI64" i="37"/>
  <c r="BH64" i="37"/>
  <c r="BG64" i="37"/>
  <c r="BD64" i="37"/>
  <c r="BC64" i="37"/>
  <c r="BB64" i="37"/>
  <c r="BA64" i="37"/>
  <c r="AZ64" i="37"/>
  <c r="AY64" i="37"/>
  <c r="AX64" i="37"/>
  <c r="AW64" i="37"/>
  <c r="AV64" i="37"/>
  <c r="AU64" i="37"/>
  <c r="AT64" i="37"/>
  <c r="AS64" i="37"/>
  <c r="AR64" i="37"/>
  <c r="AQ64" i="37"/>
  <c r="AP64" i="37"/>
  <c r="AO64" i="37"/>
  <c r="AN64" i="37"/>
  <c r="AM64" i="37"/>
  <c r="AL64" i="37"/>
  <c r="AK64" i="37"/>
  <c r="AJ64" i="37"/>
  <c r="AI64" i="37"/>
  <c r="AH64" i="37"/>
  <c r="AG64" i="37"/>
  <c r="AF64" i="37"/>
  <c r="AE64" i="37"/>
  <c r="AD64" i="37"/>
  <c r="AC64" i="37"/>
  <c r="AB64" i="37"/>
  <c r="AA64" i="37"/>
  <c r="Z64" i="37"/>
  <c r="Y64" i="37"/>
  <c r="X64" i="37"/>
  <c r="W64" i="37"/>
  <c r="V64" i="37"/>
  <c r="U64" i="37"/>
  <c r="T64" i="37"/>
  <c r="S64" i="37"/>
  <c r="R64" i="37"/>
  <c r="Q64" i="37"/>
  <c r="P64" i="37"/>
  <c r="O64" i="37"/>
  <c r="N64" i="37"/>
  <c r="M64" i="37"/>
  <c r="L64" i="37"/>
  <c r="K64" i="37"/>
  <c r="J64" i="37"/>
  <c r="I64" i="37"/>
  <c r="H64" i="37"/>
  <c r="BK63" i="37"/>
  <c r="BJ63" i="37"/>
  <c r="BI63" i="37"/>
  <c r="BH63" i="37"/>
  <c r="BG63" i="37"/>
  <c r="BD63" i="37"/>
  <c r="BC63" i="37"/>
  <c r="BB63" i="37"/>
  <c r="BA63" i="37"/>
  <c r="AZ63" i="37"/>
  <c r="AY63" i="37"/>
  <c r="AX63" i="37"/>
  <c r="AW63" i="37"/>
  <c r="AV63" i="37"/>
  <c r="AU63" i="37"/>
  <c r="AT63" i="37"/>
  <c r="AS63" i="37"/>
  <c r="AR63" i="37"/>
  <c r="AQ63" i="37"/>
  <c r="AP63" i="37"/>
  <c r="AO63" i="37"/>
  <c r="AN63" i="37"/>
  <c r="AM63" i="37"/>
  <c r="AL63" i="37"/>
  <c r="AK63" i="37"/>
  <c r="AJ63" i="37"/>
  <c r="AI63" i="37"/>
  <c r="AH63" i="37"/>
  <c r="AG63" i="37"/>
  <c r="AF63" i="37"/>
  <c r="AE63" i="37"/>
  <c r="AD63" i="37"/>
  <c r="AC63" i="37"/>
  <c r="AB63" i="37"/>
  <c r="AA63" i="37"/>
  <c r="Z63" i="37"/>
  <c r="Y63" i="37"/>
  <c r="X63" i="37"/>
  <c r="W63" i="37"/>
  <c r="V63" i="37"/>
  <c r="U63" i="37"/>
  <c r="T63" i="37"/>
  <c r="S63" i="37"/>
  <c r="R63" i="37"/>
  <c r="Q63" i="37"/>
  <c r="P63" i="37"/>
  <c r="O63" i="37"/>
  <c r="N63" i="37"/>
  <c r="M63" i="37"/>
  <c r="L63" i="37"/>
  <c r="K63" i="37"/>
  <c r="J63" i="37"/>
  <c r="I63" i="37"/>
  <c r="H63" i="37"/>
  <c r="BK62" i="37"/>
  <c r="BJ62" i="37"/>
  <c r="BI62" i="37"/>
  <c r="BH62" i="37"/>
  <c r="BG62" i="37"/>
  <c r="BD62" i="37"/>
  <c r="BC62" i="37"/>
  <c r="BB62" i="37"/>
  <c r="BA62" i="37"/>
  <c r="AZ62" i="37"/>
  <c r="AY62" i="37"/>
  <c r="AX62" i="37"/>
  <c r="AW62" i="37"/>
  <c r="AV62" i="37"/>
  <c r="AU62" i="37"/>
  <c r="AT62" i="37"/>
  <c r="AS62" i="37"/>
  <c r="AR62" i="37"/>
  <c r="AQ62" i="37"/>
  <c r="AP62" i="37"/>
  <c r="AO62" i="37"/>
  <c r="AN62" i="37"/>
  <c r="AM62" i="37"/>
  <c r="AL62" i="37"/>
  <c r="AK62" i="37"/>
  <c r="AJ62" i="37"/>
  <c r="AI62" i="37"/>
  <c r="AH62" i="37"/>
  <c r="AG62" i="37"/>
  <c r="AF62" i="37"/>
  <c r="AE62" i="37"/>
  <c r="AD62" i="37"/>
  <c r="AC62" i="37"/>
  <c r="AB62" i="37"/>
  <c r="AA62" i="37"/>
  <c r="Z62" i="37"/>
  <c r="Y62" i="37"/>
  <c r="X62" i="37"/>
  <c r="W62" i="37"/>
  <c r="V62" i="37"/>
  <c r="U62" i="37"/>
  <c r="T62" i="37"/>
  <c r="S62" i="37"/>
  <c r="R62" i="37"/>
  <c r="Q62" i="37"/>
  <c r="P62" i="37"/>
  <c r="O62" i="37"/>
  <c r="N62" i="37"/>
  <c r="M62" i="37"/>
  <c r="L62" i="37"/>
  <c r="K62" i="37"/>
  <c r="J62" i="37"/>
  <c r="I62" i="37"/>
  <c r="H62" i="37"/>
  <c r="BK61" i="37"/>
  <c r="BJ61" i="37"/>
  <c r="BI61" i="37"/>
  <c r="BH61" i="37"/>
  <c r="BG61" i="37"/>
  <c r="BD61" i="37"/>
  <c r="BC61" i="37"/>
  <c r="BB61" i="37"/>
  <c r="BA61" i="37"/>
  <c r="AZ61" i="37"/>
  <c r="AY61" i="37"/>
  <c r="AX61" i="37"/>
  <c r="AW61" i="37"/>
  <c r="AV61" i="37"/>
  <c r="AU61" i="37"/>
  <c r="AT61" i="37"/>
  <c r="AS61" i="37"/>
  <c r="AR61" i="37"/>
  <c r="AQ61" i="37"/>
  <c r="AP61" i="37"/>
  <c r="AO61" i="37"/>
  <c r="AN61" i="37"/>
  <c r="AM61" i="37"/>
  <c r="AL61" i="37"/>
  <c r="AK61" i="37"/>
  <c r="AJ61" i="37"/>
  <c r="AI61" i="37"/>
  <c r="AH61" i="37"/>
  <c r="AG61" i="37"/>
  <c r="AF61" i="37"/>
  <c r="AE61" i="37"/>
  <c r="AD61" i="37"/>
  <c r="AC61" i="37"/>
  <c r="AB61" i="37"/>
  <c r="AA61" i="37"/>
  <c r="Z61" i="37"/>
  <c r="Y61" i="37"/>
  <c r="X61" i="37"/>
  <c r="W61" i="37"/>
  <c r="V61" i="37"/>
  <c r="U61" i="37"/>
  <c r="T61" i="37"/>
  <c r="S61" i="37"/>
  <c r="R61" i="37"/>
  <c r="Q61" i="37"/>
  <c r="P61" i="37"/>
  <c r="O61" i="37"/>
  <c r="N61" i="37"/>
  <c r="M61" i="37"/>
  <c r="L61" i="37"/>
  <c r="K61" i="37"/>
  <c r="J61" i="37"/>
  <c r="I61" i="37"/>
  <c r="H61" i="37"/>
  <c r="BK60" i="37"/>
  <c r="BJ60" i="37"/>
  <c r="BI60" i="37"/>
  <c r="BH60" i="37"/>
  <c r="BG60" i="37"/>
  <c r="BD60" i="37"/>
  <c r="BC60" i="37"/>
  <c r="BB60" i="37"/>
  <c r="BA60" i="37"/>
  <c r="AZ60" i="37"/>
  <c r="AY60" i="37"/>
  <c r="AX60" i="37"/>
  <c r="AW60" i="37"/>
  <c r="AV60" i="37"/>
  <c r="AU60" i="37"/>
  <c r="AT60" i="37"/>
  <c r="AS60" i="37"/>
  <c r="AR60" i="37"/>
  <c r="AQ60" i="37"/>
  <c r="AP60" i="37"/>
  <c r="AO60" i="37"/>
  <c r="AN60" i="37"/>
  <c r="AM60" i="37"/>
  <c r="AL60" i="37"/>
  <c r="AK60" i="37"/>
  <c r="AJ60" i="37"/>
  <c r="AI60" i="37"/>
  <c r="AH60" i="37"/>
  <c r="AG60" i="37"/>
  <c r="AF60" i="37"/>
  <c r="AE60" i="37"/>
  <c r="AD60" i="37"/>
  <c r="AC60" i="37"/>
  <c r="AB60" i="37"/>
  <c r="AA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BK59" i="37"/>
  <c r="BJ59" i="37"/>
  <c r="BI59" i="37"/>
  <c r="BH59" i="37"/>
  <c r="BG59" i="37"/>
  <c r="BD59" i="37"/>
  <c r="BC59" i="37"/>
  <c r="BB59" i="37"/>
  <c r="BA59" i="37"/>
  <c r="AZ59" i="37"/>
  <c r="AY59" i="37"/>
  <c r="AX59" i="37"/>
  <c r="AW59" i="37"/>
  <c r="AV59" i="37"/>
  <c r="AU59" i="37"/>
  <c r="AT59" i="37"/>
  <c r="AS59" i="37"/>
  <c r="AR59" i="37"/>
  <c r="AQ59" i="37"/>
  <c r="AP59" i="37"/>
  <c r="AO59" i="37"/>
  <c r="AN59" i="37"/>
  <c r="AM59" i="37"/>
  <c r="AL59" i="37"/>
  <c r="AK59" i="37"/>
  <c r="AJ59" i="37"/>
  <c r="AI59" i="37"/>
  <c r="AH59" i="37"/>
  <c r="AG59" i="37"/>
  <c r="AF59" i="37"/>
  <c r="AE59" i="37"/>
  <c r="AD59" i="37"/>
  <c r="AC59" i="37"/>
  <c r="AB59" i="37"/>
  <c r="AA59" i="37"/>
  <c r="Z59" i="37"/>
  <c r="Y59" i="37"/>
  <c r="X59" i="37"/>
  <c r="W59" i="37"/>
  <c r="V59" i="37"/>
  <c r="U59" i="37"/>
  <c r="T59" i="37"/>
  <c r="S59" i="37"/>
  <c r="R59" i="37"/>
  <c r="Q59" i="37"/>
  <c r="P59" i="37"/>
  <c r="O59" i="37"/>
  <c r="N59" i="37"/>
  <c r="M59" i="37"/>
  <c r="L59" i="37"/>
  <c r="K59" i="37"/>
  <c r="J59" i="37"/>
  <c r="I59" i="37"/>
  <c r="H59" i="37"/>
  <c r="BK58" i="37"/>
  <c r="BJ58" i="37"/>
  <c r="BI58" i="37"/>
  <c r="BH58" i="37"/>
  <c r="BG58" i="37"/>
  <c r="BD58" i="37"/>
  <c r="BC58" i="37"/>
  <c r="BB58" i="37"/>
  <c r="BA58" i="37"/>
  <c r="AZ58" i="37"/>
  <c r="AY58" i="37"/>
  <c r="AX58" i="37"/>
  <c r="AW58" i="37"/>
  <c r="AV58" i="37"/>
  <c r="AU58" i="37"/>
  <c r="AT58" i="37"/>
  <c r="AS58" i="37"/>
  <c r="AR58" i="37"/>
  <c r="AQ58" i="37"/>
  <c r="AP58" i="37"/>
  <c r="AO58" i="37"/>
  <c r="AN58" i="37"/>
  <c r="AM58" i="37"/>
  <c r="AL58" i="37"/>
  <c r="AK58" i="37"/>
  <c r="AJ58" i="37"/>
  <c r="AI58" i="37"/>
  <c r="AH58" i="37"/>
  <c r="AG58" i="37"/>
  <c r="AF58" i="37"/>
  <c r="AE58" i="37"/>
  <c r="AD58" i="37"/>
  <c r="AC58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O58" i="37"/>
  <c r="N58" i="37"/>
  <c r="M58" i="37"/>
  <c r="L58" i="37"/>
  <c r="K58" i="37"/>
  <c r="J58" i="37"/>
  <c r="I58" i="37"/>
  <c r="H58" i="37"/>
  <c r="BK57" i="37"/>
  <c r="BJ57" i="37"/>
  <c r="BI57" i="37"/>
  <c r="BH57" i="37"/>
  <c r="BG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BK56" i="37"/>
  <c r="BJ56" i="37"/>
  <c r="BI56" i="37"/>
  <c r="BH56" i="37"/>
  <c r="BG56" i="37"/>
  <c r="BD56" i="37"/>
  <c r="BC56" i="37"/>
  <c r="BB56" i="37"/>
  <c r="BA56" i="37"/>
  <c r="AZ56" i="37"/>
  <c r="AY56" i="37"/>
  <c r="AX56" i="37"/>
  <c r="AW56" i="37"/>
  <c r="AV56" i="37"/>
  <c r="AU56" i="37"/>
  <c r="AT56" i="37"/>
  <c r="AS56" i="37"/>
  <c r="AR56" i="37"/>
  <c r="AQ56" i="37"/>
  <c r="AP56" i="37"/>
  <c r="AO56" i="37"/>
  <c r="AN56" i="37"/>
  <c r="AM56" i="37"/>
  <c r="AL56" i="37"/>
  <c r="AK56" i="37"/>
  <c r="AJ56" i="37"/>
  <c r="AI56" i="37"/>
  <c r="AH56" i="37"/>
  <c r="AG56" i="37"/>
  <c r="AF56" i="37"/>
  <c r="AE56" i="37"/>
  <c r="AD56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BK55" i="37"/>
  <c r="BJ55" i="37"/>
  <c r="BI55" i="37"/>
  <c r="BH55" i="37"/>
  <c r="BG55" i="37"/>
  <c r="BD55" i="37"/>
  <c r="BC55" i="37"/>
  <c r="BB55" i="37"/>
  <c r="BA55" i="37"/>
  <c r="AZ55" i="37"/>
  <c r="AY55" i="37"/>
  <c r="AX55" i="37"/>
  <c r="AW55" i="37"/>
  <c r="AV55" i="37"/>
  <c r="AU55" i="37"/>
  <c r="AT55" i="37"/>
  <c r="AS55" i="37"/>
  <c r="AR55" i="37"/>
  <c r="AQ55" i="37"/>
  <c r="AP55" i="37"/>
  <c r="AO55" i="37"/>
  <c r="AN55" i="37"/>
  <c r="AM55" i="37"/>
  <c r="AL55" i="37"/>
  <c r="AK55" i="37"/>
  <c r="AJ55" i="37"/>
  <c r="AI55" i="37"/>
  <c r="AH55" i="37"/>
  <c r="AG55" i="37"/>
  <c r="AF55" i="37"/>
  <c r="AE55" i="37"/>
  <c r="AD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BK54" i="37"/>
  <c r="BJ54" i="37"/>
  <c r="BI54" i="37"/>
  <c r="BH54" i="37"/>
  <c r="BG54" i="37"/>
  <c r="BD54" i="37"/>
  <c r="BC54" i="37"/>
  <c r="BB54" i="37"/>
  <c r="BA54" i="37"/>
  <c r="AZ54" i="37"/>
  <c r="AY54" i="37"/>
  <c r="AX54" i="37"/>
  <c r="AW54" i="37"/>
  <c r="AV54" i="37"/>
  <c r="AU54" i="37"/>
  <c r="AT54" i="37"/>
  <c r="AS54" i="37"/>
  <c r="AR54" i="37"/>
  <c r="AQ54" i="37"/>
  <c r="AP54" i="37"/>
  <c r="AO54" i="37"/>
  <c r="AN54" i="37"/>
  <c r="AM54" i="37"/>
  <c r="AL54" i="37"/>
  <c r="AK54" i="37"/>
  <c r="AJ54" i="37"/>
  <c r="AI54" i="37"/>
  <c r="AH54" i="37"/>
  <c r="AG54" i="37"/>
  <c r="AF54" i="37"/>
  <c r="AE54" i="37"/>
  <c r="AD54" i="37"/>
  <c r="AC54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BK53" i="37"/>
  <c r="BJ53" i="37"/>
  <c r="BI53" i="37"/>
  <c r="BH53" i="37"/>
  <c r="BG53" i="37"/>
  <c r="BD53" i="37"/>
  <c r="BC53" i="37"/>
  <c r="BB53" i="37"/>
  <c r="BA53" i="37"/>
  <c r="AZ53" i="37"/>
  <c r="AY53" i="37"/>
  <c r="AX53" i="37"/>
  <c r="AW53" i="37"/>
  <c r="AV53" i="37"/>
  <c r="AU53" i="37"/>
  <c r="AT53" i="37"/>
  <c r="AS53" i="37"/>
  <c r="AR53" i="37"/>
  <c r="AQ53" i="37"/>
  <c r="AP53" i="37"/>
  <c r="AO53" i="37"/>
  <c r="AN53" i="37"/>
  <c r="AM53" i="37"/>
  <c r="AL53" i="37"/>
  <c r="AK53" i="37"/>
  <c r="AJ53" i="37"/>
  <c r="AI53" i="37"/>
  <c r="AH53" i="37"/>
  <c r="AG53" i="37"/>
  <c r="AF53" i="37"/>
  <c r="AE53" i="37"/>
  <c r="AD53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BK52" i="37"/>
  <c r="BJ52" i="37"/>
  <c r="BI52" i="37"/>
  <c r="BH52" i="37"/>
  <c r="BG52" i="37"/>
  <c r="BD52" i="37"/>
  <c r="BC52" i="37"/>
  <c r="BB52" i="37"/>
  <c r="BA52" i="37"/>
  <c r="AZ52" i="37"/>
  <c r="AY52" i="37"/>
  <c r="AX52" i="37"/>
  <c r="AW52" i="37"/>
  <c r="AV52" i="37"/>
  <c r="AU52" i="37"/>
  <c r="AT52" i="37"/>
  <c r="AS52" i="37"/>
  <c r="AR52" i="37"/>
  <c r="AQ52" i="37"/>
  <c r="AP52" i="37"/>
  <c r="AO52" i="37"/>
  <c r="AN52" i="37"/>
  <c r="AM52" i="37"/>
  <c r="AL52" i="37"/>
  <c r="AK52" i="37"/>
  <c r="AJ52" i="37"/>
  <c r="AI52" i="37"/>
  <c r="AH52" i="37"/>
  <c r="AG52" i="37"/>
  <c r="AF52" i="37"/>
  <c r="AE52" i="37"/>
  <c r="AD52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BK51" i="37"/>
  <c r="BJ51" i="37"/>
  <c r="BI51" i="37"/>
  <c r="BH51" i="37"/>
  <c r="BG51" i="37"/>
  <c r="BD51" i="37"/>
  <c r="BC51" i="37"/>
  <c r="BB51" i="37"/>
  <c r="BA51" i="37"/>
  <c r="AZ51" i="37"/>
  <c r="AY51" i="37"/>
  <c r="AX51" i="37"/>
  <c r="AW51" i="37"/>
  <c r="AV51" i="37"/>
  <c r="AU51" i="37"/>
  <c r="AT51" i="37"/>
  <c r="AS51" i="37"/>
  <c r="AR51" i="37"/>
  <c r="AQ51" i="37"/>
  <c r="AP51" i="37"/>
  <c r="AO51" i="37"/>
  <c r="AN51" i="37"/>
  <c r="AM51" i="37"/>
  <c r="AL51" i="37"/>
  <c r="AK51" i="37"/>
  <c r="AJ51" i="37"/>
  <c r="AI51" i="37"/>
  <c r="AH51" i="37"/>
  <c r="AG51" i="37"/>
  <c r="AF51" i="37"/>
  <c r="AE51" i="37"/>
  <c r="AD51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BK50" i="37"/>
  <c r="BJ50" i="37"/>
  <c r="BI50" i="37"/>
  <c r="BH50" i="37"/>
  <c r="BG50" i="37"/>
  <c r="BD50" i="37"/>
  <c r="BC50" i="37"/>
  <c r="BB50" i="37"/>
  <c r="BA50" i="37"/>
  <c r="AZ50" i="37"/>
  <c r="AY50" i="37"/>
  <c r="AX50" i="37"/>
  <c r="AW50" i="37"/>
  <c r="AV50" i="37"/>
  <c r="AU50" i="37"/>
  <c r="AT50" i="37"/>
  <c r="AS50" i="37"/>
  <c r="AR50" i="37"/>
  <c r="AQ50" i="37"/>
  <c r="AP50" i="37"/>
  <c r="AO50" i="37"/>
  <c r="AN50" i="37"/>
  <c r="AM50" i="37"/>
  <c r="AL50" i="37"/>
  <c r="AK50" i="37"/>
  <c r="AJ50" i="37"/>
  <c r="AI50" i="37"/>
  <c r="AH50" i="37"/>
  <c r="AG50" i="37"/>
  <c r="AF50" i="37"/>
  <c r="AE50" i="37"/>
  <c r="AD50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BK49" i="37"/>
  <c r="BJ49" i="37"/>
  <c r="BI49" i="37"/>
  <c r="BH49" i="37"/>
  <c r="BG49" i="37"/>
  <c r="BD49" i="37"/>
  <c r="BC49" i="37"/>
  <c r="BB49" i="37"/>
  <c r="BA49" i="37"/>
  <c r="AZ49" i="37"/>
  <c r="AY49" i="37"/>
  <c r="AX49" i="37"/>
  <c r="AW49" i="37"/>
  <c r="AV49" i="37"/>
  <c r="AU49" i="37"/>
  <c r="AT49" i="37"/>
  <c r="AS49" i="37"/>
  <c r="AR49" i="37"/>
  <c r="AQ49" i="37"/>
  <c r="AP49" i="37"/>
  <c r="AO49" i="37"/>
  <c r="AN49" i="37"/>
  <c r="AM49" i="37"/>
  <c r="AL49" i="37"/>
  <c r="AK49" i="37"/>
  <c r="AJ49" i="37"/>
  <c r="AI49" i="37"/>
  <c r="AH49" i="37"/>
  <c r="AG49" i="37"/>
  <c r="AF49" i="37"/>
  <c r="AE49" i="37"/>
  <c r="AD49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BK48" i="37"/>
  <c r="BJ48" i="37"/>
  <c r="BI48" i="37"/>
  <c r="BH48" i="37"/>
  <c r="BG48" i="37"/>
  <c r="BD48" i="37"/>
  <c r="BC48" i="37"/>
  <c r="BB48" i="37"/>
  <c r="BA48" i="37"/>
  <c r="AZ48" i="37"/>
  <c r="AY48" i="37"/>
  <c r="AX48" i="37"/>
  <c r="AW48" i="37"/>
  <c r="AV48" i="37"/>
  <c r="AU48" i="37"/>
  <c r="AT48" i="37"/>
  <c r="AS48" i="37"/>
  <c r="AR48" i="37"/>
  <c r="AQ48" i="37"/>
  <c r="AP48" i="37"/>
  <c r="AO48" i="37"/>
  <c r="AN48" i="37"/>
  <c r="AM48" i="37"/>
  <c r="AL48" i="37"/>
  <c r="AK48" i="37"/>
  <c r="AJ48" i="37"/>
  <c r="AI48" i="37"/>
  <c r="AH48" i="37"/>
  <c r="AG48" i="37"/>
  <c r="AF48" i="37"/>
  <c r="AE48" i="37"/>
  <c r="AD48" i="37"/>
  <c r="AC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BK47" i="37"/>
  <c r="BJ47" i="37"/>
  <c r="BI47" i="37"/>
  <c r="BH47" i="37"/>
  <c r="BG47" i="37"/>
  <c r="BD47" i="37"/>
  <c r="BC47" i="37"/>
  <c r="BB47" i="37"/>
  <c r="BA47" i="37"/>
  <c r="AZ47" i="37"/>
  <c r="AY47" i="37"/>
  <c r="AX47" i="37"/>
  <c r="AW47" i="37"/>
  <c r="AV47" i="37"/>
  <c r="AU47" i="37"/>
  <c r="AT47" i="37"/>
  <c r="AS47" i="37"/>
  <c r="AR47" i="37"/>
  <c r="AQ47" i="37"/>
  <c r="AP47" i="37"/>
  <c r="AO47" i="37"/>
  <c r="AN47" i="37"/>
  <c r="AM47" i="37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BK46" i="37"/>
  <c r="BJ46" i="37"/>
  <c r="BI46" i="37"/>
  <c r="BH46" i="37"/>
  <c r="BG46" i="37"/>
  <c r="BD46" i="37"/>
  <c r="BC46" i="37"/>
  <c r="BB46" i="37"/>
  <c r="BA46" i="37"/>
  <c r="AZ46" i="37"/>
  <c r="AY46" i="37"/>
  <c r="AX46" i="37"/>
  <c r="AW46" i="37"/>
  <c r="AV46" i="37"/>
  <c r="AU46" i="37"/>
  <c r="AT46" i="37"/>
  <c r="AS46" i="37"/>
  <c r="AR46" i="37"/>
  <c r="AQ46" i="37"/>
  <c r="AP46" i="37"/>
  <c r="AO46" i="37"/>
  <c r="AN46" i="37"/>
  <c r="AM46" i="37"/>
  <c r="AL46" i="37"/>
  <c r="AK46" i="37"/>
  <c r="AJ46" i="37"/>
  <c r="AI46" i="37"/>
  <c r="AH46" i="37"/>
  <c r="AG46" i="37"/>
  <c r="AF46" i="37"/>
  <c r="AE46" i="37"/>
  <c r="AD46" i="37"/>
  <c r="AC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BK45" i="37"/>
  <c r="BJ45" i="37"/>
  <c r="BI45" i="37"/>
  <c r="BH45" i="37"/>
  <c r="BG45" i="37"/>
  <c r="BD45" i="37"/>
  <c r="BC45" i="37"/>
  <c r="BB45" i="37"/>
  <c r="BA45" i="37"/>
  <c r="AZ45" i="37"/>
  <c r="AY45" i="37"/>
  <c r="AX45" i="37"/>
  <c r="AW45" i="37"/>
  <c r="AV45" i="37"/>
  <c r="AU45" i="37"/>
  <c r="AT45" i="37"/>
  <c r="AS45" i="37"/>
  <c r="AR45" i="37"/>
  <c r="AQ45" i="37"/>
  <c r="AP45" i="37"/>
  <c r="AO45" i="37"/>
  <c r="AN45" i="37"/>
  <c r="AM45" i="37"/>
  <c r="AL45" i="37"/>
  <c r="AK45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BK44" i="37"/>
  <c r="BJ44" i="37"/>
  <c r="BI44" i="37"/>
  <c r="BH44" i="37"/>
  <c r="BG44" i="37"/>
  <c r="BK43" i="37"/>
  <c r="BJ43" i="37"/>
  <c r="BI43" i="37"/>
  <c r="BH43" i="37"/>
  <c r="BG43" i="37"/>
  <c r="BD43" i="37"/>
  <c r="BC43" i="37"/>
  <c r="BB43" i="37"/>
  <c r="BA43" i="37"/>
  <c r="AZ43" i="37"/>
  <c r="AY43" i="37"/>
  <c r="AX43" i="37"/>
  <c r="AW43" i="37"/>
  <c r="AV43" i="37"/>
  <c r="AU43" i="37"/>
  <c r="AT43" i="37"/>
  <c r="AS43" i="37"/>
  <c r="AR43" i="37"/>
  <c r="AQ43" i="37"/>
  <c r="AP43" i="37"/>
  <c r="AO43" i="37"/>
  <c r="AN43" i="37"/>
  <c r="AM43" i="37"/>
  <c r="AL43" i="37"/>
  <c r="AK43" i="37"/>
  <c r="AJ43" i="37"/>
  <c r="AI43" i="37"/>
  <c r="AH43" i="37"/>
  <c r="AG43" i="37"/>
  <c r="AF43" i="37"/>
  <c r="AE43" i="37"/>
  <c r="AD43" i="37"/>
  <c r="AC43" i="37"/>
  <c r="AB43" i="37"/>
  <c r="AA43" i="37"/>
  <c r="Z43" i="37"/>
  <c r="Y43" i="37"/>
  <c r="X43" i="37"/>
  <c r="W43" i="37"/>
  <c r="V43" i="37"/>
  <c r="U43" i="37"/>
  <c r="T43" i="37"/>
  <c r="S43" i="37"/>
  <c r="R43" i="37"/>
  <c r="Q43" i="37"/>
  <c r="P43" i="37"/>
  <c r="O43" i="37"/>
  <c r="N43" i="37"/>
  <c r="M43" i="37"/>
  <c r="L43" i="37"/>
  <c r="K43" i="37"/>
  <c r="J43" i="37"/>
  <c r="I43" i="37"/>
  <c r="H43" i="37"/>
  <c r="BK42" i="37"/>
  <c r="BJ42" i="37"/>
  <c r="BI42" i="37"/>
  <c r="BH42" i="37"/>
  <c r="BG42" i="37"/>
  <c r="BD42" i="37"/>
  <c r="BC42" i="37"/>
  <c r="BB42" i="37"/>
  <c r="BA42" i="37"/>
  <c r="AZ42" i="37"/>
  <c r="AY42" i="37"/>
  <c r="AX42" i="37"/>
  <c r="AW42" i="37"/>
  <c r="AV42" i="37"/>
  <c r="AU42" i="37"/>
  <c r="AT42" i="37"/>
  <c r="AS42" i="37"/>
  <c r="AR42" i="37"/>
  <c r="AQ42" i="37"/>
  <c r="AP42" i="37"/>
  <c r="AO42" i="37"/>
  <c r="AN42" i="37"/>
  <c r="AM42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BK41" i="37"/>
  <c r="BJ41" i="37"/>
  <c r="BI41" i="37"/>
  <c r="BH41" i="37"/>
  <c r="BG41" i="37"/>
  <c r="BD41" i="37"/>
  <c r="BC41" i="37"/>
  <c r="BB41" i="37"/>
  <c r="BA41" i="37"/>
  <c r="AZ41" i="37"/>
  <c r="AY41" i="37"/>
  <c r="AX41" i="37"/>
  <c r="AW41" i="37"/>
  <c r="AV41" i="37"/>
  <c r="AU41" i="37"/>
  <c r="AT41" i="37"/>
  <c r="AS41" i="37"/>
  <c r="AR41" i="37"/>
  <c r="AQ41" i="37"/>
  <c r="AP41" i="37"/>
  <c r="AO41" i="37"/>
  <c r="AN41" i="37"/>
  <c r="AM41" i="37"/>
  <c r="AL41" i="37"/>
  <c r="AK41" i="37"/>
  <c r="AJ41" i="37"/>
  <c r="AI41" i="37"/>
  <c r="AH41" i="37"/>
  <c r="AG41" i="37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BK40" i="37"/>
  <c r="BJ40" i="37"/>
  <c r="BI40" i="37"/>
  <c r="BH40" i="37"/>
  <c r="BG40" i="37"/>
  <c r="BD40" i="37"/>
  <c r="BC40" i="37"/>
  <c r="BB40" i="37"/>
  <c r="BA40" i="37"/>
  <c r="AZ40" i="37"/>
  <c r="AY40" i="37"/>
  <c r="AX40" i="37"/>
  <c r="AW40" i="37"/>
  <c r="AV40" i="37"/>
  <c r="AU40" i="37"/>
  <c r="AT40" i="37"/>
  <c r="AS40" i="37"/>
  <c r="AR40" i="37"/>
  <c r="AQ40" i="37"/>
  <c r="AP40" i="37"/>
  <c r="AO40" i="37"/>
  <c r="AN40" i="37"/>
  <c r="AM40" i="37"/>
  <c r="AL40" i="37"/>
  <c r="AK40" i="37"/>
  <c r="AJ40" i="37"/>
  <c r="AI40" i="37"/>
  <c r="AH40" i="37"/>
  <c r="AG40" i="37"/>
  <c r="AF40" i="37"/>
  <c r="AE40" i="37"/>
  <c r="AD40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BK39" i="37"/>
  <c r="BJ39" i="37"/>
  <c r="BJ34" i="37" s="1"/>
  <c r="BJ36" i="37" s="1"/>
  <c r="BI39" i="37"/>
  <c r="BH39" i="37"/>
  <c r="BH34" i="37" s="1"/>
  <c r="BH36" i="37" s="1"/>
  <c r="BG39" i="37"/>
  <c r="BD39" i="37"/>
  <c r="BC39" i="37"/>
  <c r="BB39" i="37"/>
  <c r="BA39" i="37"/>
  <c r="AZ39" i="37"/>
  <c r="AY39" i="37"/>
  <c r="AX39" i="37"/>
  <c r="AW39" i="37"/>
  <c r="AV39" i="37"/>
  <c r="AU39" i="37"/>
  <c r="AT39" i="37"/>
  <c r="AS39" i="37"/>
  <c r="AR39" i="37"/>
  <c r="AQ39" i="37"/>
  <c r="AP39" i="37"/>
  <c r="AO39" i="37"/>
  <c r="AN39" i="37"/>
  <c r="AM39" i="37"/>
  <c r="AL39" i="37"/>
  <c r="AK39" i="37"/>
  <c r="AJ39" i="37"/>
  <c r="AI39" i="37"/>
  <c r="AH39" i="37"/>
  <c r="AG39" i="37"/>
  <c r="AF39" i="37"/>
  <c r="AE39" i="37"/>
  <c r="AD39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H34" i="37" s="1"/>
  <c r="BK34" i="37"/>
  <c r="BK36" i="37" s="1"/>
  <c r="BI34" i="37"/>
  <c r="BI36" i="37" s="1"/>
  <c r="BG34" i="37"/>
  <c r="BG36" i="37" s="1"/>
  <c r="BK31" i="37"/>
  <c r="BJ31" i="37"/>
  <c r="BI31" i="37"/>
  <c r="BH31" i="37"/>
  <c r="BG31" i="37"/>
  <c r="BK30" i="37"/>
  <c r="BJ30" i="37"/>
  <c r="BI30" i="37"/>
  <c r="R30" i="37"/>
  <c r="X30" i="37" s="1"/>
  <c r="AD30" i="37" s="1"/>
  <c r="AJ30" i="37" s="1"/>
  <c r="AP30" i="37" s="1"/>
  <c r="AV30" i="37" s="1"/>
  <c r="BB30" i="37" s="1"/>
  <c r="M30" i="37"/>
  <c r="S30" i="37" s="1"/>
  <c r="Y30" i="37" s="1"/>
  <c r="AE30" i="37" s="1"/>
  <c r="AK30" i="37" s="1"/>
  <c r="AQ30" i="37" s="1"/>
  <c r="AW30" i="37" s="1"/>
  <c r="BC30" i="37" s="1"/>
  <c r="L30" i="37"/>
  <c r="K30" i="37"/>
  <c r="Q30" i="37" s="1"/>
  <c r="W30" i="37" s="1"/>
  <c r="AC30" i="37" s="1"/>
  <c r="AI30" i="37" s="1"/>
  <c r="AO30" i="37" s="1"/>
  <c r="AU30" i="37" s="1"/>
  <c r="BA30" i="37" s="1"/>
  <c r="J30" i="37"/>
  <c r="P30" i="37" s="1"/>
  <c r="V30" i="37" s="1"/>
  <c r="AB30" i="37" s="1"/>
  <c r="AH30" i="37" s="1"/>
  <c r="AN30" i="37" s="1"/>
  <c r="AT30" i="37" s="1"/>
  <c r="AZ30" i="37" s="1"/>
  <c r="I30" i="37"/>
  <c r="O30" i="37" s="1"/>
  <c r="U30" i="37" s="1"/>
  <c r="H30" i="37"/>
  <c r="N30" i="37" s="1"/>
  <c r="A30" i="37"/>
  <c r="BK29" i="37"/>
  <c r="BJ29" i="37"/>
  <c r="BI29" i="37"/>
  <c r="AE29" i="37"/>
  <c r="AK29" i="37" s="1"/>
  <c r="AQ29" i="37" s="1"/>
  <c r="AW29" i="37" s="1"/>
  <c r="BC29" i="37" s="1"/>
  <c r="W29" i="37"/>
  <c r="AC29" i="37" s="1"/>
  <c r="AI29" i="37" s="1"/>
  <c r="AO29" i="37" s="1"/>
  <c r="AU29" i="37" s="1"/>
  <c r="BA29" i="37" s="1"/>
  <c r="S29" i="37"/>
  <c r="Y29" i="37" s="1"/>
  <c r="O29" i="37"/>
  <c r="U29" i="37" s="1"/>
  <c r="M29" i="37"/>
  <c r="L29" i="37"/>
  <c r="R29" i="37" s="1"/>
  <c r="X29" i="37" s="1"/>
  <c r="AD29" i="37" s="1"/>
  <c r="AJ29" i="37" s="1"/>
  <c r="AP29" i="37" s="1"/>
  <c r="AV29" i="37" s="1"/>
  <c r="BB29" i="37" s="1"/>
  <c r="K29" i="37"/>
  <c r="Q29" i="37" s="1"/>
  <c r="J29" i="37"/>
  <c r="P29" i="37" s="1"/>
  <c r="V29" i="37" s="1"/>
  <c r="AB29" i="37" s="1"/>
  <c r="AH29" i="37" s="1"/>
  <c r="AN29" i="37" s="1"/>
  <c r="AT29" i="37" s="1"/>
  <c r="AZ29" i="37" s="1"/>
  <c r="I29" i="37"/>
  <c r="H29" i="37"/>
  <c r="N29" i="37" s="1"/>
  <c r="T29" i="37" s="1"/>
  <c r="Z29" i="37" s="1"/>
  <c r="AF29" i="37" s="1"/>
  <c r="AL29" i="37" s="1"/>
  <c r="AR29" i="37" s="1"/>
  <c r="AX29" i="37" s="1"/>
  <c r="BD29" i="37" s="1"/>
  <c r="BK28" i="37"/>
  <c r="BJ28" i="37"/>
  <c r="BI28" i="37"/>
  <c r="BH28" i="37"/>
  <c r="BG28" i="37"/>
  <c r="BD28" i="37"/>
  <c r="BC28" i="37"/>
  <c r="BB28" i="37"/>
  <c r="BA28" i="37"/>
  <c r="AZ28" i="37"/>
  <c r="AY28" i="37"/>
  <c r="AX28" i="37"/>
  <c r="AW28" i="37"/>
  <c r="AV28" i="37"/>
  <c r="AU28" i="37"/>
  <c r="AT28" i="37"/>
  <c r="AS28" i="37"/>
  <c r="AR28" i="37"/>
  <c r="AQ28" i="37"/>
  <c r="AP28" i="37"/>
  <c r="AO28" i="37"/>
  <c r="AN28" i="37"/>
  <c r="AM28" i="37"/>
  <c r="AL28" i="37"/>
  <c r="AK28" i="37"/>
  <c r="AJ28" i="37"/>
  <c r="AI28" i="37"/>
  <c r="AH28" i="37"/>
  <c r="AG28" i="37"/>
  <c r="AF28" i="37"/>
  <c r="AE28" i="37"/>
  <c r="AD28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BJ27" i="37"/>
  <c r="BI27" i="37"/>
  <c r="BH27" i="37"/>
  <c r="BG27" i="37"/>
  <c r="AA27" i="37"/>
  <c r="AG27" i="37" s="1"/>
  <c r="AM27" i="37" s="1"/>
  <c r="AS27" i="37" s="1"/>
  <c r="AY27" i="37" s="1"/>
  <c r="S27" i="37"/>
  <c r="Y27" i="37" s="1"/>
  <c r="AE27" i="37" s="1"/>
  <c r="AK27" i="37" s="1"/>
  <c r="AQ27" i="37" s="1"/>
  <c r="AW27" i="37" s="1"/>
  <c r="BC27" i="37" s="1"/>
  <c r="O27" i="37"/>
  <c r="U27" i="37" s="1"/>
  <c r="M27" i="37"/>
  <c r="L27" i="37"/>
  <c r="R27" i="37" s="1"/>
  <c r="X27" i="37" s="1"/>
  <c r="AD27" i="37" s="1"/>
  <c r="AJ27" i="37" s="1"/>
  <c r="AP27" i="37" s="1"/>
  <c r="AV27" i="37" s="1"/>
  <c r="BB27" i="37" s="1"/>
  <c r="K27" i="37"/>
  <c r="Q27" i="37" s="1"/>
  <c r="W27" i="37" s="1"/>
  <c r="AC27" i="37" s="1"/>
  <c r="AI27" i="37" s="1"/>
  <c r="AO27" i="37" s="1"/>
  <c r="AU27" i="37" s="1"/>
  <c r="BA27" i="37" s="1"/>
  <c r="J27" i="37"/>
  <c r="P27" i="37" s="1"/>
  <c r="V27" i="37" s="1"/>
  <c r="AB27" i="37" s="1"/>
  <c r="AH27" i="37" s="1"/>
  <c r="AN27" i="37" s="1"/>
  <c r="AT27" i="37" s="1"/>
  <c r="AZ27" i="37" s="1"/>
  <c r="I27" i="37"/>
  <c r="H27" i="37"/>
  <c r="N27" i="37" s="1"/>
  <c r="T27" i="37" s="1"/>
  <c r="Z27" i="37" s="1"/>
  <c r="AF27" i="37" s="1"/>
  <c r="AL27" i="37" s="1"/>
  <c r="AR27" i="37" s="1"/>
  <c r="AX27" i="37" s="1"/>
  <c r="BD27" i="37" s="1"/>
  <c r="BK26" i="37"/>
  <c r="BJ26" i="37"/>
  <c r="BI26" i="37"/>
  <c r="BH26" i="37"/>
  <c r="BG26" i="37"/>
  <c r="M26" i="37"/>
  <c r="S26" i="37" s="1"/>
  <c r="Y26" i="37" s="1"/>
  <c r="AE26" i="37" s="1"/>
  <c r="AK26" i="37" s="1"/>
  <c r="AQ26" i="37" s="1"/>
  <c r="AW26" i="37" s="1"/>
  <c r="BC26" i="37" s="1"/>
  <c r="L26" i="37"/>
  <c r="R26" i="37" s="1"/>
  <c r="X26" i="37" s="1"/>
  <c r="AD26" i="37" s="1"/>
  <c r="AJ26" i="37" s="1"/>
  <c r="AP26" i="37" s="1"/>
  <c r="AV26" i="37" s="1"/>
  <c r="BB26" i="37" s="1"/>
  <c r="K26" i="37"/>
  <c r="Q26" i="37" s="1"/>
  <c r="W26" i="37" s="1"/>
  <c r="AC26" i="37" s="1"/>
  <c r="AI26" i="37" s="1"/>
  <c r="AO26" i="37" s="1"/>
  <c r="AU26" i="37" s="1"/>
  <c r="BA26" i="37" s="1"/>
  <c r="J26" i="37"/>
  <c r="P26" i="37" s="1"/>
  <c r="V26" i="37" s="1"/>
  <c r="AB26" i="37" s="1"/>
  <c r="AH26" i="37" s="1"/>
  <c r="AN26" i="37" s="1"/>
  <c r="AT26" i="37" s="1"/>
  <c r="AZ26" i="37" s="1"/>
  <c r="I26" i="37"/>
  <c r="O26" i="37" s="1"/>
  <c r="U26" i="37" s="1"/>
  <c r="AA26" i="37" s="1"/>
  <c r="AG26" i="37" s="1"/>
  <c r="AM26" i="37" s="1"/>
  <c r="AS26" i="37" s="1"/>
  <c r="AY26" i="37" s="1"/>
  <c r="H26" i="37"/>
  <c r="N26" i="37" s="1"/>
  <c r="T26" i="37" s="1"/>
  <c r="Z26" i="37" s="1"/>
  <c r="AF26" i="37" s="1"/>
  <c r="AL26" i="37" s="1"/>
  <c r="AR26" i="37" s="1"/>
  <c r="AX26" i="37" s="1"/>
  <c r="BD26" i="37" s="1"/>
  <c r="BJ25" i="37"/>
  <c r="BI25" i="37"/>
  <c r="BH25" i="37"/>
  <c r="BG25" i="37"/>
  <c r="S25" i="37"/>
  <c r="Y25" i="37" s="1"/>
  <c r="AE25" i="37" s="1"/>
  <c r="AK25" i="37" s="1"/>
  <c r="AQ25" i="37" s="1"/>
  <c r="AW25" i="37" s="1"/>
  <c r="BC25" i="37" s="1"/>
  <c r="O25" i="37"/>
  <c r="U25" i="37" s="1"/>
  <c r="AA25" i="37" s="1"/>
  <c r="AG25" i="37" s="1"/>
  <c r="AM25" i="37" s="1"/>
  <c r="AS25" i="37" s="1"/>
  <c r="AY25" i="37" s="1"/>
  <c r="M25" i="37"/>
  <c r="L25" i="37"/>
  <c r="R25" i="37" s="1"/>
  <c r="X25" i="37" s="1"/>
  <c r="AD25" i="37" s="1"/>
  <c r="AJ25" i="37" s="1"/>
  <c r="AP25" i="37" s="1"/>
  <c r="AV25" i="37" s="1"/>
  <c r="BB25" i="37" s="1"/>
  <c r="K25" i="37"/>
  <c r="Q25" i="37" s="1"/>
  <c r="W25" i="37" s="1"/>
  <c r="AC25" i="37" s="1"/>
  <c r="AI25" i="37" s="1"/>
  <c r="AO25" i="37" s="1"/>
  <c r="AU25" i="37" s="1"/>
  <c r="BA25" i="37" s="1"/>
  <c r="J25" i="37"/>
  <c r="P25" i="37" s="1"/>
  <c r="V25" i="37" s="1"/>
  <c r="AB25" i="37" s="1"/>
  <c r="AH25" i="37" s="1"/>
  <c r="AN25" i="37" s="1"/>
  <c r="AT25" i="37" s="1"/>
  <c r="AZ25" i="37" s="1"/>
  <c r="I25" i="37"/>
  <c r="H25" i="37"/>
  <c r="N25" i="37" s="1"/>
  <c r="T25" i="37" s="1"/>
  <c r="Z25" i="37" s="1"/>
  <c r="AF25" i="37" s="1"/>
  <c r="AL25" i="37" s="1"/>
  <c r="AR25" i="37" s="1"/>
  <c r="AX25" i="37" s="1"/>
  <c r="BD25" i="37" s="1"/>
  <c r="A25" i="37"/>
  <c r="A26" i="37" s="1"/>
  <c r="A27" i="37" s="1"/>
  <c r="BJ24" i="37"/>
  <c r="BI24" i="37"/>
  <c r="BH24" i="37"/>
  <c r="BG24" i="37"/>
  <c r="P24" i="37"/>
  <c r="V24" i="37" s="1"/>
  <c r="AB24" i="37" s="1"/>
  <c r="AH24" i="37" s="1"/>
  <c r="AN24" i="37" s="1"/>
  <c r="AT24" i="37" s="1"/>
  <c r="AZ24" i="37" s="1"/>
  <c r="M24" i="37"/>
  <c r="S24" i="37" s="1"/>
  <c r="Y24" i="37" s="1"/>
  <c r="AE24" i="37" s="1"/>
  <c r="AK24" i="37" s="1"/>
  <c r="AQ24" i="37" s="1"/>
  <c r="AW24" i="37" s="1"/>
  <c r="BC24" i="37" s="1"/>
  <c r="L24" i="37"/>
  <c r="R24" i="37" s="1"/>
  <c r="X24" i="37" s="1"/>
  <c r="AD24" i="37" s="1"/>
  <c r="AJ24" i="37" s="1"/>
  <c r="AP24" i="37" s="1"/>
  <c r="AV24" i="37" s="1"/>
  <c r="BB24" i="37" s="1"/>
  <c r="K24" i="37"/>
  <c r="Q24" i="37" s="1"/>
  <c r="W24" i="37" s="1"/>
  <c r="AC24" i="37" s="1"/>
  <c r="AI24" i="37" s="1"/>
  <c r="AO24" i="37" s="1"/>
  <c r="AU24" i="37" s="1"/>
  <c r="BA24" i="37" s="1"/>
  <c r="J24" i="37"/>
  <c r="I24" i="37"/>
  <c r="H24" i="37"/>
  <c r="N24" i="37" s="1"/>
  <c r="T24" i="37" s="1"/>
  <c r="Z24" i="37" s="1"/>
  <c r="AF24" i="37" s="1"/>
  <c r="AL24" i="37" s="1"/>
  <c r="AR24" i="37" s="1"/>
  <c r="AX24" i="37" s="1"/>
  <c r="BD24" i="37" s="1"/>
  <c r="A24" i="37"/>
  <c r="BJ23" i="37"/>
  <c r="BI23" i="37"/>
  <c r="BH23" i="37"/>
  <c r="BG23" i="37"/>
  <c r="S23" i="37"/>
  <c r="Y23" i="37" s="1"/>
  <c r="AE23" i="37" s="1"/>
  <c r="AK23" i="37" s="1"/>
  <c r="AQ23" i="37" s="1"/>
  <c r="AW23" i="37" s="1"/>
  <c r="BC23" i="37" s="1"/>
  <c r="O23" i="37"/>
  <c r="U23" i="37" s="1"/>
  <c r="AA23" i="37" s="1"/>
  <c r="AG23" i="37" s="1"/>
  <c r="AM23" i="37" s="1"/>
  <c r="AS23" i="37" s="1"/>
  <c r="AY23" i="37" s="1"/>
  <c r="M23" i="37"/>
  <c r="L23" i="37"/>
  <c r="R23" i="37" s="1"/>
  <c r="X23" i="37" s="1"/>
  <c r="AD23" i="37" s="1"/>
  <c r="AJ23" i="37" s="1"/>
  <c r="AP23" i="37" s="1"/>
  <c r="AV23" i="37" s="1"/>
  <c r="BB23" i="37" s="1"/>
  <c r="K23" i="37"/>
  <c r="Q23" i="37" s="1"/>
  <c r="W23" i="37" s="1"/>
  <c r="AC23" i="37" s="1"/>
  <c r="AI23" i="37" s="1"/>
  <c r="AO23" i="37" s="1"/>
  <c r="AU23" i="37" s="1"/>
  <c r="BA23" i="37" s="1"/>
  <c r="J23" i="37"/>
  <c r="P23" i="37" s="1"/>
  <c r="V23" i="37" s="1"/>
  <c r="AB23" i="37" s="1"/>
  <c r="AH23" i="37" s="1"/>
  <c r="AN23" i="37" s="1"/>
  <c r="AT23" i="37" s="1"/>
  <c r="AZ23" i="37" s="1"/>
  <c r="I23" i="37"/>
  <c r="BK23" i="37" s="1"/>
  <c r="H23" i="37"/>
  <c r="N23" i="37" s="1"/>
  <c r="T23" i="37" s="1"/>
  <c r="Z23" i="37" s="1"/>
  <c r="AF23" i="37" s="1"/>
  <c r="AL23" i="37" s="1"/>
  <c r="AR23" i="37" s="1"/>
  <c r="AX23" i="37" s="1"/>
  <c r="BD23" i="37" s="1"/>
  <c r="BK22" i="37"/>
  <c r="BJ22" i="37"/>
  <c r="BI22" i="37"/>
  <c r="BH22" i="37"/>
  <c r="BG22" i="37"/>
  <c r="BD22" i="37"/>
  <c r="BC22" i="37"/>
  <c r="BB22" i="37"/>
  <c r="BA22" i="37"/>
  <c r="AZ22" i="37"/>
  <c r="AY22" i="37"/>
  <c r="AX22" i="37"/>
  <c r="AW22" i="37"/>
  <c r="AV22" i="37"/>
  <c r="AU22" i="37"/>
  <c r="AT22" i="37"/>
  <c r="AS22" i="37"/>
  <c r="AR22" i="37"/>
  <c r="AQ22" i="37"/>
  <c r="AP22" i="37"/>
  <c r="AO22" i="37"/>
  <c r="AN22" i="37"/>
  <c r="AM22" i="37"/>
  <c r="AL22" i="37"/>
  <c r="AK22" i="37"/>
  <c r="AJ22" i="37"/>
  <c r="AI22" i="37"/>
  <c r="AH22" i="37"/>
  <c r="AG22" i="37"/>
  <c r="AF22" i="37"/>
  <c r="AE22" i="37"/>
  <c r="AD22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BK21" i="37"/>
  <c r="BH21" i="37"/>
  <c r="BG21" i="37"/>
  <c r="M21" i="37"/>
  <c r="S21" i="37" s="1"/>
  <c r="Y21" i="37" s="1"/>
  <c r="AE21" i="37" s="1"/>
  <c r="AK21" i="37" s="1"/>
  <c r="AQ21" i="37" s="1"/>
  <c r="AW21" i="37" s="1"/>
  <c r="BC21" i="37" s="1"/>
  <c r="L21" i="37"/>
  <c r="R21" i="37" s="1"/>
  <c r="X21" i="37" s="1"/>
  <c r="AD21" i="37" s="1"/>
  <c r="AJ21" i="37" s="1"/>
  <c r="AP21" i="37" s="1"/>
  <c r="AV21" i="37" s="1"/>
  <c r="BB21" i="37" s="1"/>
  <c r="K21" i="37"/>
  <c r="Q21" i="37" s="1"/>
  <c r="W21" i="37" s="1"/>
  <c r="AC21" i="37" s="1"/>
  <c r="AI21" i="37" s="1"/>
  <c r="AO21" i="37" s="1"/>
  <c r="AU21" i="37" s="1"/>
  <c r="BA21" i="37" s="1"/>
  <c r="J21" i="37"/>
  <c r="P21" i="37" s="1"/>
  <c r="V21" i="37" s="1"/>
  <c r="AB21" i="37" s="1"/>
  <c r="AH21" i="37" s="1"/>
  <c r="AN21" i="37" s="1"/>
  <c r="AT21" i="37" s="1"/>
  <c r="AZ21" i="37" s="1"/>
  <c r="I21" i="37"/>
  <c r="H21" i="37"/>
  <c r="N21" i="37" s="1"/>
  <c r="T21" i="37" s="1"/>
  <c r="Z21" i="37" s="1"/>
  <c r="AF21" i="37" s="1"/>
  <c r="AL21" i="37" s="1"/>
  <c r="AR21" i="37" s="1"/>
  <c r="AX21" i="37" s="1"/>
  <c r="BD21" i="37" s="1"/>
  <c r="BK20" i="37"/>
  <c r="BJ20" i="37"/>
  <c r="BI20" i="37"/>
  <c r="BH20" i="37"/>
  <c r="BG20" i="37"/>
  <c r="P20" i="37"/>
  <c r="V20" i="37" s="1"/>
  <c r="AB20" i="37" s="1"/>
  <c r="AH20" i="37" s="1"/>
  <c r="AN20" i="37" s="1"/>
  <c r="AT20" i="37" s="1"/>
  <c r="AZ20" i="37" s="1"/>
  <c r="M20" i="37"/>
  <c r="S20" i="37" s="1"/>
  <c r="Y20" i="37" s="1"/>
  <c r="AE20" i="37" s="1"/>
  <c r="AK20" i="37" s="1"/>
  <c r="AQ20" i="37" s="1"/>
  <c r="AW20" i="37" s="1"/>
  <c r="BC20" i="37" s="1"/>
  <c r="L20" i="37"/>
  <c r="R20" i="37" s="1"/>
  <c r="X20" i="37" s="1"/>
  <c r="AD20" i="37" s="1"/>
  <c r="AJ20" i="37" s="1"/>
  <c r="AP20" i="37" s="1"/>
  <c r="AV20" i="37" s="1"/>
  <c r="BB20" i="37" s="1"/>
  <c r="K20" i="37"/>
  <c r="Q20" i="37" s="1"/>
  <c r="W20" i="37" s="1"/>
  <c r="AC20" i="37" s="1"/>
  <c r="AI20" i="37" s="1"/>
  <c r="AO20" i="37" s="1"/>
  <c r="AU20" i="37" s="1"/>
  <c r="BA20" i="37" s="1"/>
  <c r="J20" i="37"/>
  <c r="I20" i="37"/>
  <c r="O20" i="37" s="1"/>
  <c r="U20" i="37" s="1"/>
  <c r="AA20" i="37" s="1"/>
  <c r="AG20" i="37" s="1"/>
  <c r="AM20" i="37" s="1"/>
  <c r="AS20" i="37" s="1"/>
  <c r="AY20" i="37" s="1"/>
  <c r="H20" i="37"/>
  <c r="N20" i="37" s="1"/>
  <c r="T20" i="37" s="1"/>
  <c r="Z20" i="37" s="1"/>
  <c r="AF20" i="37" s="1"/>
  <c r="AL20" i="37" s="1"/>
  <c r="AR20" i="37" s="1"/>
  <c r="AX20" i="37" s="1"/>
  <c r="BD20" i="37" s="1"/>
  <c r="BK19" i="37"/>
  <c r="BH19" i="37"/>
  <c r="BG19" i="37"/>
  <c r="M19" i="37"/>
  <c r="S19" i="37" s="1"/>
  <c r="Y19" i="37" s="1"/>
  <c r="AE19" i="37" s="1"/>
  <c r="AK19" i="37" s="1"/>
  <c r="AQ19" i="37" s="1"/>
  <c r="AW19" i="37" s="1"/>
  <c r="BC19" i="37" s="1"/>
  <c r="L19" i="37"/>
  <c r="R19" i="37" s="1"/>
  <c r="X19" i="37" s="1"/>
  <c r="AD19" i="37" s="1"/>
  <c r="AJ19" i="37" s="1"/>
  <c r="AP19" i="37" s="1"/>
  <c r="AV19" i="37" s="1"/>
  <c r="BB19" i="37" s="1"/>
  <c r="K19" i="37"/>
  <c r="Q19" i="37" s="1"/>
  <c r="W19" i="37" s="1"/>
  <c r="AC19" i="37" s="1"/>
  <c r="AI19" i="37" s="1"/>
  <c r="AO19" i="37" s="1"/>
  <c r="AU19" i="37" s="1"/>
  <c r="BA19" i="37" s="1"/>
  <c r="J19" i="37"/>
  <c r="P19" i="37" s="1"/>
  <c r="V19" i="37" s="1"/>
  <c r="AB19" i="37" s="1"/>
  <c r="AH19" i="37" s="1"/>
  <c r="AN19" i="37" s="1"/>
  <c r="AT19" i="37" s="1"/>
  <c r="AZ19" i="37" s="1"/>
  <c r="I19" i="37"/>
  <c r="H19" i="37"/>
  <c r="N19" i="37" s="1"/>
  <c r="T19" i="37" s="1"/>
  <c r="Z19" i="37" s="1"/>
  <c r="AF19" i="37" s="1"/>
  <c r="AL19" i="37" s="1"/>
  <c r="AR19" i="37" s="1"/>
  <c r="AX19" i="37" s="1"/>
  <c r="BD19" i="37" s="1"/>
  <c r="BK18" i="37"/>
  <c r="BH18" i="37"/>
  <c r="BG18" i="37"/>
  <c r="M18" i="37"/>
  <c r="S18" i="37" s="1"/>
  <c r="Y18" i="37" s="1"/>
  <c r="AE18" i="37" s="1"/>
  <c r="AK18" i="37" s="1"/>
  <c r="AQ18" i="37" s="1"/>
  <c r="AW18" i="37" s="1"/>
  <c r="BC18" i="37" s="1"/>
  <c r="L18" i="37"/>
  <c r="R18" i="37" s="1"/>
  <c r="X18" i="37" s="1"/>
  <c r="AD18" i="37" s="1"/>
  <c r="AJ18" i="37" s="1"/>
  <c r="AP18" i="37" s="1"/>
  <c r="AV18" i="37" s="1"/>
  <c r="BB18" i="37" s="1"/>
  <c r="K18" i="37"/>
  <c r="Q18" i="37" s="1"/>
  <c r="W18" i="37" s="1"/>
  <c r="AC18" i="37" s="1"/>
  <c r="AI18" i="37" s="1"/>
  <c r="AO18" i="37" s="1"/>
  <c r="AU18" i="37" s="1"/>
  <c r="BA18" i="37" s="1"/>
  <c r="J18" i="37"/>
  <c r="P18" i="37" s="1"/>
  <c r="V18" i="37" s="1"/>
  <c r="AB18" i="37" s="1"/>
  <c r="AH18" i="37" s="1"/>
  <c r="AN18" i="37" s="1"/>
  <c r="AT18" i="37" s="1"/>
  <c r="AZ18" i="37" s="1"/>
  <c r="I18" i="37"/>
  <c r="H18" i="37"/>
  <c r="N18" i="37" s="1"/>
  <c r="T18" i="37" s="1"/>
  <c r="Z18" i="37" s="1"/>
  <c r="AF18" i="37" s="1"/>
  <c r="AL18" i="37" s="1"/>
  <c r="AR18" i="37" s="1"/>
  <c r="AX18" i="37" s="1"/>
  <c r="BD18" i="37" s="1"/>
  <c r="A18" i="37"/>
  <c r="A19" i="37" s="1"/>
  <c r="A20" i="37" s="1"/>
  <c r="A21" i="37" s="1"/>
  <c r="BK17" i="37"/>
  <c r="BH17" i="37"/>
  <c r="BG17" i="37"/>
  <c r="M17" i="37"/>
  <c r="S17" i="37" s="1"/>
  <c r="Y17" i="37" s="1"/>
  <c r="AE17" i="37" s="1"/>
  <c r="AK17" i="37" s="1"/>
  <c r="AQ17" i="37" s="1"/>
  <c r="AW17" i="37" s="1"/>
  <c r="BC17" i="37" s="1"/>
  <c r="L17" i="37"/>
  <c r="R17" i="37" s="1"/>
  <c r="X17" i="37" s="1"/>
  <c r="AD17" i="37" s="1"/>
  <c r="AJ17" i="37" s="1"/>
  <c r="AP17" i="37" s="1"/>
  <c r="AV17" i="37" s="1"/>
  <c r="BB17" i="37" s="1"/>
  <c r="K17" i="37"/>
  <c r="Q17" i="37" s="1"/>
  <c r="W17" i="37" s="1"/>
  <c r="AC17" i="37" s="1"/>
  <c r="AI17" i="37" s="1"/>
  <c r="AO17" i="37" s="1"/>
  <c r="AU17" i="37" s="1"/>
  <c r="BA17" i="37" s="1"/>
  <c r="J17" i="37"/>
  <c r="P17" i="37" s="1"/>
  <c r="V17" i="37" s="1"/>
  <c r="AB17" i="37" s="1"/>
  <c r="AH17" i="37" s="1"/>
  <c r="AN17" i="37" s="1"/>
  <c r="AT17" i="37" s="1"/>
  <c r="AZ17" i="37" s="1"/>
  <c r="I17" i="37"/>
  <c r="O17" i="37" s="1"/>
  <c r="U17" i="37" s="1"/>
  <c r="H17" i="37"/>
  <c r="N17" i="37" s="1"/>
  <c r="T17" i="37" s="1"/>
  <c r="Z17" i="37" s="1"/>
  <c r="AF17" i="37" s="1"/>
  <c r="AL17" i="37" s="1"/>
  <c r="AR17" i="37" s="1"/>
  <c r="AX17" i="37" s="1"/>
  <c r="BD17" i="37" s="1"/>
  <c r="BK16" i="37"/>
  <c r="BJ16" i="37"/>
  <c r="BI16" i="37"/>
  <c r="BH16" i="37"/>
  <c r="BG16" i="37"/>
  <c r="BD16" i="37"/>
  <c r="BC16" i="37"/>
  <c r="BB16" i="37"/>
  <c r="BA16" i="37"/>
  <c r="AZ16" i="37"/>
  <c r="AY16" i="37"/>
  <c r="AX16" i="37"/>
  <c r="AW16" i="37"/>
  <c r="AV16" i="37"/>
  <c r="AU16" i="37"/>
  <c r="AT16" i="37"/>
  <c r="AS16" i="37"/>
  <c r="AR16" i="37"/>
  <c r="AQ16" i="37"/>
  <c r="AP16" i="37"/>
  <c r="AO16" i="37"/>
  <c r="AN16" i="37"/>
  <c r="AM16" i="37"/>
  <c r="AL16" i="37"/>
  <c r="AK16" i="37"/>
  <c r="AJ16" i="37"/>
  <c r="AI16" i="37"/>
  <c r="AH16" i="37"/>
  <c r="AG16" i="37"/>
  <c r="AF16" i="37"/>
  <c r="AE16" i="37"/>
  <c r="AD16" i="37"/>
  <c r="AC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BK15" i="37"/>
  <c r="BJ15" i="37"/>
  <c r="BI15" i="37"/>
  <c r="M15" i="37"/>
  <c r="S15" i="37" s="1"/>
  <c r="Y15" i="37" s="1"/>
  <c r="AE15" i="37" s="1"/>
  <c r="AK15" i="37" s="1"/>
  <c r="AQ15" i="37" s="1"/>
  <c r="AW15" i="37" s="1"/>
  <c r="BC15" i="37" s="1"/>
  <c r="L15" i="37"/>
  <c r="R15" i="37" s="1"/>
  <c r="X15" i="37" s="1"/>
  <c r="AD15" i="37" s="1"/>
  <c r="AJ15" i="37" s="1"/>
  <c r="AP15" i="37" s="1"/>
  <c r="AV15" i="37" s="1"/>
  <c r="BB15" i="37" s="1"/>
  <c r="K15" i="37"/>
  <c r="Q15" i="37" s="1"/>
  <c r="W15" i="37" s="1"/>
  <c r="AC15" i="37" s="1"/>
  <c r="AI15" i="37" s="1"/>
  <c r="AO15" i="37" s="1"/>
  <c r="AU15" i="37" s="1"/>
  <c r="BA15" i="37" s="1"/>
  <c r="J15" i="37"/>
  <c r="P15" i="37" s="1"/>
  <c r="V15" i="37" s="1"/>
  <c r="AB15" i="37" s="1"/>
  <c r="AH15" i="37" s="1"/>
  <c r="AN15" i="37" s="1"/>
  <c r="AT15" i="37" s="1"/>
  <c r="AZ15" i="37" s="1"/>
  <c r="I15" i="37"/>
  <c r="O15" i="37" s="1"/>
  <c r="U15" i="37" s="1"/>
  <c r="H15" i="37"/>
  <c r="N15" i="37" s="1"/>
  <c r="T15" i="37" s="1"/>
  <c r="Z15" i="37" s="1"/>
  <c r="AF15" i="37" s="1"/>
  <c r="AL15" i="37" s="1"/>
  <c r="AR15" i="37" s="1"/>
  <c r="AX15" i="37" s="1"/>
  <c r="BD15" i="37" s="1"/>
  <c r="BK14" i="37"/>
  <c r="BJ14" i="37"/>
  <c r="BI14" i="37"/>
  <c r="BH14" i="37"/>
  <c r="BG14" i="37"/>
  <c r="M14" i="37"/>
  <c r="S14" i="37" s="1"/>
  <c r="Y14" i="37" s="1"/>
  <c r="AE14" i="37" s="1"/>
  <c r="AK14" i="37" s="1"/>
  <c r="AQ14" i="37" s="1"/>
  <c r="AW14" i="37" s="1"/>
  <c r="BC14" i="37" s="1"/>
  <c r="L14" i="37"/>
  <c r="R14" i="37" s="1"/>
  <c r="X14" i="37" s="1"/>
  <c r="AD14" i="37" s="1"/>
  <c r="AJ14" i="37" s="1"/>
  <c r="AP14" i="37" s="1"/>
  <c r="AV14" i="37" s="1"/>
  <c r="BB14" i="37" s="1"/>
  <c r="K14" i="37"/>
  <c r="Q14" i="37" s="1"/>
  <c r="W14" i="37" s="1"/>
  <c r="AC14" i="37" s="1"/>
  <c r="AI14" i="37" s="1"/>
  <c r="AO14" i="37" s="1"/>
  <c r="AU14" i="37" s="1"/>
  <c r="BA14" i="37" s="1"/>
  <c r="J14" i="37"/>
  <c r="P14" i="37" s="1"/>
  <c r="V14" i="37" s="1"/>
  <c r="AB14" i="37" s="1"/>
  <c r="AH14" i="37" s="1"/>
  <c r="AN14" i="37" s="1"/>
  <c r="AT14" i="37" s="1"/>
  <c r="AZ14" i="37" s="1"/>
  <c r="I14" i="37"/>
  <c r="O14" i="37" s="1"/>
  <c r="U14" i="37" s="1"/>
  <c r="AA14" i="37" s="1"/>
  <c r="AG14" i="37" s="1"/>
  <c r="AM14" i="37" s="1"/>
  <c r="AS14" i="37" s="1"/>
  <c r="AY14" i="37" s="1"/>
  <c r="H14" i="37"/>
  <c r="N14" i="37" s="1"/>
  <c r="T14" i="37" s="1"/>
  <c r="Z14" i="37" s="1"/>
  <c r="AF14" i="37" s="1"/>
  <c r="AL14" i="37" s="1"/>
  <c r="AR14" i="37" s="1"/>
  <c r="AX14" i="37" s="1"/>
  <c r="BD14" i="37" s="1"/>
  <c r="BK13" i="37"/>
  <c r="BJ13" i="37"/>
  <c r="BI13" i="37"/>
  <c r="P13" i="37"/>
  <c r="V13" i="37" s="1"/>
  <c r="AB13" i="37" s="1"/>
  <c r="AH13" i="37" s="1"/>
  <c r="AN13" i="37" s="1"/>
  <c r="AT13" i="37" s="1"/>
  <c r="AZ13" i="37" s="1"/>
  <c r="M13" i="37"/>
  <c r="S13" i="37" s="1"/>
  <c r="Y13" i="37" s="1"/>
  <c r="AE13" i="37" s="1"/>
  <c r="AK13" i="37" s="1"/>
  <c r="AQ13" i="37" s="1"/>
  <c r="AW13" i="37" s="1"/>
  <c r="BC13" i="37" s="1"/>
  <c r="L13" i="37"/>
  <c r="R13" i="37" s="1"/>
  <c r="X13" i="37" s="1"/>
  <c r="AD13" i="37" s="1"/>
  <c r="AJ13" i="37" s="1"/>
  <c r="AP13" i="37" s="1"/>
  <c r="AV13" i="37" s="1"/>
  <c r="BB13" i="37" s="1"/>
  <c r="K13" i="37"/>
  <c r="Q13" i="37" s="1"/>
  <c r="W13" i="37" s="1"/>
  <c r="AC13" i="37" s="1"/>
  <c r="AI13" i="37" s="1"/>
  <c r="AO13" i="37" s="1"/>
  <c r="AU13" i="37" s="1"/>
  <c r="BA13" i="37" s="1"/>
  <c r="J13" i="37"/>
  <c r="I13" i="37"/>
  <c r="O13" i="37" s="1"/>
  <c r="U13" i="37" s="1"/>
  <c r="H13" i="37"/>
  <c r="N13" i="37" s="1"/>
  <c r="T13" i="37" s="1"/>
  <c r="Z13" i="37" s="1"/>
  <c r="AF13" i="37" s="1"/>
  <c r="AL13" i="37" s="1"/>
  <c r="AR13" i="37" s="1"/>
  <c r="AX13" i="37" s="1"/>
  <c r="BD13" i="37" s="1"/>
  <c r="A13" i="37"/>
  <c r="A14" i="37" s="1"/>
  <c r="A15" i="37" s="1"/>
  <c r="BK12" i="37"/>
  <c r="BJ12" i="37"/>
  <c r="BI12" i="37"/>
  <c r="M12" i="37"/>
  <c r="S12" i="37" s="1"/>
  <c r="Y12" i="37" s="1"/>
  <c r="AE12" i="37" s="1"/>
  <c r="AK12" i="37" s="1"/>
  <c r="AQ12" i="37" s="1"/>
  <c r="AW12" i="37" s="1"/>
  <c r="BC12" i="37" s="1"/>
  <c r="L12" i="37"/>
  <c r="R12" i="37" s="1"/>
  <c r="X12" i="37" s="1"/>
  <c r="AD12" i="37" s="1"/>
  <c r="AJ12" i="37" s="1"/>
  <c r="AP12" i="37" s="1"/>
  <c r="AV12" i="37" s="1"/>
  <c r="BB12" i="37" s="1"/>
  <c r="K12" i="37"/>
  <c r="Q12" i="37" s="1"/>
  <c r="W12" i="37" s="1"/>
  <c r="AC12" i="37" s="1"/>
  <c r="AI12" i="37" s="1"/>
  <c r="AO12" i="37" s="1"/>
  <c r="AU12" i="37" s="1"/>
  <c r="BA12" i="37" s="1"/>
  <c r="J12" i="37"/>
  <c r="I12" i="37"/>
  <c r="O12" i="37" s="1"/>
  <c r="U12" i="37" s="1"/>
  <c r="H12" i="37"/>
  <c r="N12" i="37" s="1"/>
  <c r="T12" i="37" s="1"/>
  <c r="Z12" i="37" s="1"/>
  <c r="AF12" i="37" s="1"/>
  <c r="AL12" i="37" s="1"/>
  <c r="AR12" i="37" s="1"/>
  <c r="AX12" i="37" s="1"/>
  <c r="BD12" i="37" s="1"/>
  <c r="A12" i="37"/>
  <c r="BK11" i="37"/>
  <c r="BJ11" i="37"/>
  <c r="BI11" i="37"/>
  <c r="M11" i="37"/>
  <c r="S11" i="37" s="1"/>
  <c r="Y11" i="37" s="1"/>
  <c r="AE11" i="37" s="1"/>
  <c r="AK11" i="37" s="1"/>
  <c r="AQ11" i="37" s="1"/>
  <c r="AW11" i="37" s="1"/>
  <c r="BC11" i="37" s="1"/>
  <c r="L11" i="37"/>
  <c r="R11" i="37" s="1"/>
  <c r="X11" i="37" s="1"/>
  <c r="AD11" i="37" s="1"/>
  <c r="AJ11" i="37" s="1"/>
  <c r="AP11" i="37" s="1"/>
  <c r="AV11" i="37" s="1"/>
  <c r="BB11" i="37" s="1"/>
  <c r="K11" i="37"/>
  <c r="Q11" i="37" s="1"/>
  <c r="W11" i="37" s="1"/>
  <c r="AC11" i="37" s="1"/>
  <c r="AI11" i="37" s="1"/>
  <c r="AO11" i="37" s="1"/>
  <c r="AU11" i="37" s="1"/>
  <c r="BA11" i="37" s="1"/>
  <c r="J11" i="37"/>
  <c r="P11" i="37" s="1"/>
  <c r="V11" i="37" s="1"/>
  <c r="AB11" i="37" s="1"/>
  <c r="AH11" i="37" s="1"/>
  <c r="AN11" i="37" s="1"/>
  <c r="AT11" i="37" s="1"/>
  <c r="AZ11" i="37" s="1"/>
  <c r="I11" i="37"/>
  <c r="H11" i="37"/>
  <c r="N11" i="37" s="1"/>
  <c r="T11" i="37" s="1"/>
  <c r="Z11" i="37" s="1"/>
  <c r="AF11" i="37" s="1"/>
  <c r="AL11" i="37" s="1"/>
  <c r="AR11" i="37" s="1"/>
  <c r="AX11" i="37" s="1"/>
  <c r="BD11" i="37" s="1"/>
  <c r="F42" i="36" l="1"/>
  <c r="E49" i="38"/>
  <c r="E49" i="39"/>
  <c r="D55" i="39"/>
  <c r="D55" i="38"/>
  <c r="D55" i="36"/>
  <c r="F39" i="36"/>
  <c r="D40" i="39"/>
  <c r="F40" i="39" s="1"/>
  <c r="E39" i="39"/>
  <c r="F42" i="39"/>
  <c r="D43" i="39"/>
  <c r="E42" i="39"/>
  <c r="F47" i="39"/>
  <c r="E39" i="38"/>
  <c r="D40" i="38"/>
  <c r="E40" i="38" s="1"/>
  <c r="F42" i="38"/>
  <c r="D43" i="38"/>
  <c r="E42" i="38"/>
  <c r="F40" i="38"/>
  <c r="F47" i="38"/>
  <c r="D40" i="36"/>
  <c r="F40" i="36" s="1"/>
  <c r="H6" i="37"/>
  <c r="H7" i="37" s="1"/>
  <c r="BH13" i="37"/>
  <c r="AA12" i="37"/>
  <c r="AG12" i="37" s="1"/>
  <c r="AM12" i="37" s="1"/>
  <c r="AS12" i="37" s="1"/>
  <c r="AY12" i="37" s="1"/>
  <c r="P12" i="37"/>
  <c r="V12" i="37" s="1"/>
  <c r="AB12" i="37" s="1"/>
  <c r="AH12" i="37" s="1"/>
  <c r="AN12" i="37" s="1"/>
  <c r="AT12" i="37" s="1"/>
  <c r="AZ12" i="37" s="1"/>
  <c r="BH15" i="37"/>
  <c r="BJ17" i="37"/>
  <c r="T30" i="37"/>
  <c r="Z30" i="37" s="1"/>
  <c r="AF30" i="37" s="1"/>
  <c r="AL30" i="37" s="1"/>
  <c r="AR30" i="37" s="1"/>
  <c r="AX30" i="37" s="1"/>
  <c r="BD30" i="37" s="1"/>
  <c r="O11" i="37"/>
  <c r="U11" i="37" s="1"/>
  <c r="AA13" i="37"/>
  <c r="AG13" i="37" s="1"/>
  <c r="AM13" i="37" s="1"/>
  <c r="AS13" i="37" s="1"/>
  <c r="AY13" i="37" s="1"/>
  <c r="BG13" i="37" s="1"/>
  <c r="H1" i="37"/>
  <c r="BG15" i="37"/>
  <c r="AA15" i="37"/>
  <c r="AG15" i="37" s="1"/>
  <c r="AM15" i="37" s="1"/>
  <c r="AS15" i="37" s="1"/>
  <c r="AY15" i="37" s="1"/>
  <c r="BI17" i="37"/>
  <c r="AA17" i="37"/>
  <c r="AG17" i="37" s="1"/>
  <c r="AM17" i="37" s="1"/>
  <c r="AS17" i="37" s="1"/>
  <c r="AY17" i="37" s="1"/>
  <c r="O18" i="37"/>
  <c r="U18" i="37" s="1"/>
  <c r="BK25" i="37"/>
  <c r="BK27" i="37"/>
  <c r="H35" i="37"/>
  <c r="H36" i="37"/>
  <c r="BJ19" i="37"/>
  <c r="O19" i="37"/>
  <c r="U19" i="37" s="1"/>
  <c r="O21" i="37"/>
  <c r="U21" i="37" s="1"/>
  <c r="AA29" i="37"/>
  <c r="AG29" i="37" s="1"/>
  <c r="AM29" i="37" s="1"/>
  <c r="AS29" i="37" s="1"/>
  <c r="AY29" i="37" s="1"/>
  <c r="BG29" i="37" s="1"/>
  <c r="O24" i="37"/>
  <c r="U24" i="37" s="1"/>
  <c r="AA24" i="37" s="1"/>
  <c r="AG24" i="37" s="1"/>
  <c r="AM24" i="37" s="1"/>
  <c r="AS24" i="37" s="1"/>
  <c r="AY24" i="37" s="1"/>
  <c r="BH29" i="37"/>
  <c r="BG30" i="37"/>
  <c r="AA30" i="37"/>
  <c r="AG30" i="37" s="1"/>
  <c r="AM30" i="37" s="1"/>
  <c r="AS30" i="37" s="1"/>
  <c r="AY30" i="37" s="1"/>
  <c r="F55" i="39" l="1"/>
  <c r="E40" i="39"/>
  <c r="E55" i="39"/>
  <c r="E43" i="39"/>
  <c r="F43" i="39"/>
  <c r="D44" i="39"/>
  <c r="E55" i="38"/>
  <c r="F55" i="38"/>
  <c r="E43" i="38"/>
  <c r="F43" i="38"/>
  <c r="D44" i="38"/>
  <c r="E40" i="36"/>
  <c r="AA21" i="37"/>
  <c r="AG21" i="37" s="1"/>
  <c r="AM21" i="37" s="1"/>
  <c r="AS21" i="37" s="1"/>
  <c r="AY21" i="37" s="1"/>
  <c r="BI21" i="37"/>
  <c r="BJ21" i="37"/>
  <c r="AA18" i="37"/>
  <c r="AG18" i="37" s="1"/>
  <c r="AM18" i="37" s="1"/>
  <c r="AS18" i="37" s="1"/>
  <c r="AY18" i="37" s="1"/>
  <c r="BG11" i="37"/>
  <c r="AA11" i="37"/>
  <c r="AG11" i="37" s="1"/>
  <c r="AM11" i="37" s="1"/>
  <c r="AS11" i="37" s="1"/>
  <c r="AY11" i="37" s="1"/>
  <c r="BH11" i="37"/>
  <c r="BI19" i="37"/>
  <c r="AA19" i="37"/>
  <c r="AG19" i="37" s="1"/>
  <c r="AM19" i="37" s="1"/>
  <c r="AS19" i="37" s="1"/>
  <c r="AY19" i="37" s="1"/>
  <c r="BK24" i="37"/>
  <c r="BK6" i="37" s="1"/>
  <c r="BK8" i="37" s="1"/>
  <c r="BH30" i="37"/>
  <c r="BJ18" i="37"/>
  <c r="BJ6" i="37" s="1"/>
  <c r="BJ8" i="37" s="1"/>
  <c r="H2" i="37"/>
  <c r="BG12" i="37"/>
  <c r="BH12" i="37"/>
  <c r="E55" i="36" l="1"/>
  <c r="F55" i="36"/>
  <c r="D46" i="39"/>
  <c r="F44" i="39"/>
  <c r="E44" i="39"/>
  <c r="D46" i="38"/>
  <c r="F44" i="38"/>
  <c r="E44" i="38"/>
  <c r="BG6" i="37"/>
  <c r="BG8" i="37" s="1"/>
  <c r="BH6" i="37"/>
  <c r="BH8" i="37" s="1"/>
  <c r="BI18" i="37"/>
  <c r="BI6" i="37" s="1"/>
  <c r="BI8" i="37" s="1"/>
  <c r="F46" i="39" l="1"/>
  <c r="D52" i="39"/>
  <c r="E46" i="39"/>
  <c r="F46" i="38"/>
  <c r="D52" i="38"/>
  <c r="E46" i="38"/>
  <c r="H8" i="37"/>
  <c r="H3" i="37" s="1"/>
  <c r="E52" i="39" l="1"/>
  <c r="F52" i="39"/>
  <c r="D54" i="39"/>
  <c r="E52" i="38"/>
  <c r="F52" i="38"/>
  <c r="D54" i="38"/>
  <c r="D43" i="36"/>
  <c r="E43" i="36" l="1"/>
  <c r="F43" i="36"/>
  <c r="D56" i="39"/>
  <c r="F54" i="39"/>
  <c r="E54" i="39"/>
  <c r="D56" i="38"/>
  <c r="F54" i="38"/>
  <c r="E54" i="38"/>
  <c r="E49" i="36"/>
  <c r="F56" i="39" l="1"/>
  <c r="D57" i="39"/>
  <c r="E56" i="39"/>
  <c r="E57" i="39" s="1"/>
  <c r="F56" i="38"/>
  <c r="D57" i="38"/>
  <c r="E56" i="38"/>
  <c r="E57" i="38" s="1"/>
  <c r="D44" i="36"/>
  <c r="F44" i="36" s="1"/>
  <c r="B30" i="30"/>
  <c r="B30" i="35"/>
  <c r="D59" i="35" s="1"/>
  <c r="D66" i="35"/>
  <c r="D64" i="30"/>
  <c r="D64" i="35"/>
  <c r="B20" i="35"/>
  <c r="F20" i="35" s="1"/>
  <c r="D19" i="35"/>
  <c r="F19" i="35" s="1"/>
  <c r="B19" i="35"/>
  <c r="B18" i="35"/>
  <c r="F18" i="35" s="1"/>
  <c r="F17" i="35"/>
  <c r="F16" i="35"/>
  <c r="F15" i="35"/>
  <c r="F14" i="35"/>
  <c r="F13" i="35"/>
  <c r="F12" i="35"/>
  <c r="D66" i="30"/>
  <c r="D64" i="34"/>
  <c r="B30" i="34"/>
  <c r="D59" i="34" s="1"/>
  <c r="B20" i="34"/>
  <c r="F20" i="34" s="1"/>
  <c r="D19" i="34"/>
  <c r="B19" i="34"/>
  <c r="B18" i="34"/>
  <c r="F18" i="34" s="1"/>
  <c r="F17" i="34"/>
  <c r="F16" i="34"/>
  <c r="F15" i="34"/>
  <c r="D55" i="34" s="1"/>
  <c r="F14" i="34"/>
  <c r="F13" i="34"/>
  <c r="F12" i="34"/>
  <c r="F17" i="30"/>
  <c r="D46" i="36" l="1"/>
  <c r="E44" i="36"/>
  <c r="D52" i="36"/>
  <c r="D56" i="34"/>
  <c r="D57" i="34" s="1"/>
  <c r="D55" i="35"/>
  <c r="F19" i="34"/>
  <c r="F24" i="34" s="1"/>
  <c r="D56" i="35"/>
  <c r="D60" i="35"/>
  <c r="D61" i="35" s="1"/>
  <c r="D63" i="35" s="1"/>
  <c r="F24" i="35"/>
  <c r="D60" i="34"/>
  <c r="D61" i="34" s="1"/>
  <c r="D63" i="34" s="1"/>
  <c r="D59" i="30"/>
  <c r="E46" i="36" l="1"/>
  <c r="F46" i="36"/>
  <c r="E52" i="36"/>
  <c r="F52" i="36"/>
  <c r="D54" i="36"/>
  <c r="D57" i="35"/>
  <c r="D67" i="35"/>
  <c r="D73" i="35"/>
  <c r="D65" i="35"/>
  <c r="D70" i="35" s="1"/>
  <c r="D72" i="35" s="1"/>
  <c r="D73" i="34"/>
  <c r="D65" i="34"/>
  <c r="D67" i="34"/>
  <c r="B20" i="30"/>
  <c r="F20" i="30" s="1"/>
  <c r="D19" i="30"/>
  <c r="B19" i="30"/>
  <c r="B18" i="30"/>
  <c r="F18" i="30" s="1"/>
  <c r="F16" i="30"/>
  <c r="F15" i="30"/>
  <c r="F14" i="30"/>
  <c r="F13" i="30"/>
  <c r="F12" i="30"/>
  <c r="G40" i="17"/>
  <c r="G39" i="17"/>
  <c r="G38" i="17"/>
  <c r="G37" i="17"/>
  <c r="G35" i="17"/>
  <c r="G36" i="17"/>
  <c r="D30" i="17"/>
  <c r="C25" i="17"/>
  <c r="E54" i="36" l="1"/>
  <c r="F54" i="36"/>
  <c r="D56" i="36"/>
  <c r="D56" i="30"/>
  <c r="D70" i="34"/>
  <c r="D72" i="34" s="1"/>
  <c r="F19" i="30"/>
  <c r="D74" i="34"/>
  <c r="D74" i="35"/>
  <c r="D55" i="30"/>
  <c r="D57" i="30" s="1"/>
  <c r="D73" i="30" s="1"/>
  <c r="F24" i="30"/>
  <c r="F56" i="36" l="1"/>
  <c r="D57" i="36"/>
  <c r="E56" i="36"/>
  <c r="E57" i="36" s="1"/>
  <c r="D60" i="30"/>
  <c r="D67" i="30" l="1"/>
  <c r="D65" i="30"/>
  <c r="D61" i="30"/>
  <c r="D63" i="30" s="1"/>
  <c r="D70" i="30" l="1"/>
  <c r="D72" i="30" s="1"/>
  <c r="D74" i="30" s="1"/>
  <c r="G45" i="17"/>
  <c r="I45" i="17" s="1"/>
  <c r="G43" i="17"/>
  <c r="I37" i="17"/>
  <c r="D52" i="17" s="1"/>
  <c r="F30" i="17"/>
  <c r="C73" i="17"/>
  <c r="C77" i="17" s="1"/>
  <c r="I40" i="17"/>
  <c r="D55" i="17" s="1"/>
  <c r="I39" i="17"/>
  <c r="D54" i="17" s="1"/>
  <c r="I38" i="17"/>
  <c r="D53" i="17" s="1"/>
  <c r="I36" i="17"/>
  <c r="D51" i="17" s="1"/>
  <c r="I35" i="17"/>
  <c r="C21" i="17"/>
  <c r="C22" i="17" s="1"/>
  <c r="C10" i="17"/>
  <c r="C11" i="17" s="1"/>
  <c r="D29" i="17" l="1"/>
  <c r="G44" i="17"/>
  <c r="I44" i="17"/>
  <c r="I46" i="17" s="1"/>
  <c r="G46" i="17" l="1"/>
  <c r="F29" i="17"/>
  <c r="F31" i="17" s="1"/>
  <c r="D31" i="17"/>
  <c r="F48" i="17" s="1"/>
  <c r="D50" i="17" l="1"/>
  <c r="D58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christiaan boiten</author>
  </authors>
  <commentList>
    <comment ref="H9" authorId="0" shapeId="0" xr:uid="{AA4FABAA-38FB-42EC-875A-47E22C293EF2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Werk weegt 100%
Slaap weegt 50%</t>
        </r>
      </text>
    </comment>
    <comment ref="BG9" authorId="0" shapeId="0" xr:uid="{4DB6DF7A-73A3-41D9-91D9-C096222CA724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ma t/m vr 6-7 uur; 20-22 uur</t>
        </r>
      </text>
    </comment>
    <comment ref="BH9" authorId="0" shapeId="0" xr:uid="{42B2B8E6-1154-4D4E-B4BE-9DD5D79EECC2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ma t/m vr 0-6 uur; 22-24 uur</t>
        </r>
      </text>
    </comment>
    <comment ref="BI9" authorId="0" shapeId="0" xr:uid="{4DA4D338-C973-43C3-B72E-4D3C36EA876D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zaterdag 6-8 uur; 12-22 uur</t>
        </r>
      </text>
    </comment>
    <comment ref="BJ9" authorId="0" shapeId="0" xr:uid="{F469C54F-BF39-4E7D-B4CF-27CEDCD47952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zaterdag 0-6 uur; 22-24 uur</t>
        </r>
      </text>
    </comment>
    <comment ref="BK9" authorId="0" shapeId="0" xr:uid="{BDCCA4A1-4E27-4B71-A027-91161B662CF0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zondag alle uren</t>
        </r>
      </text>
    </comment>
    <comment ref="E29" authorId="0" shapeId="0" xr:uid="{112E1EAA-8CDA-4ECC-A783-F9A43EA275B5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geen vaste dagen / tijden</t>
        </r>
      </text>
    </comment>
    <comment ref="E30" authorId="0" shapeId="0" xr:uid="{3F3ECC76-0DF3-43C5-8C35-72CAD09A7012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geen vaste dagen / tijden</t>
        </r>
      </text>
    </comment>
    <comment ref="E51" authorId="0" shapeId="0" xr:uid="{FD104D6C-C8FD-42F4-AFFB-E562BE4731F3}">
      <text>
        <r>
          <rPr>
            <b/>
            <sz val="9"/>
            <color indexed="81"/>
            <rFont val="Tahoma"/>
            <family val="2"/>
          </rPr>
          <t>christiaan boiten:</t>
        </r>
        <r>
          <rPr>
            <sz val="9"/>
            <color indexed="81"/>
            <rFont val="Tahoma"/>
            <family val="2"/>
          </rPr>
          <t xml:space="preserve">
zaterdag overdag gaan relatief veel kinderen naar huis of sociaal netwerk gaan en daarom een groepsleider overdag volstaat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Willeke Kromkamp</author>
  </authors>
  <commentList>
    <comment ref="B3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Willeke Kromkamp:</t>
        </r>
        <r>
          <rPr>
            <sz val="8"/>
            <color indexed="81"/>
            <rFont val="Tahoma"/>
            <family val="2"/>
          </rPr>
          <t xml:space="preserve">
84 dagen x 3,5 uur per dag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Willeke Kromkamp</author>
  </authors>
  <commentList>
    <comment ref="B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Willeke Kromkamp:</t>
        </r>
        <r>
          <rPr>
            <sz val="8"/>
            <color indexed="81"/>
            <rFont val="Tahoma"/>
            <family val="2"/>
          </rPr>
          <t xml:space="preserve">
84 dagen x 3,75 uur per dag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Willeke Kromkamp</author>
  </authors>
  <commentList>
    <comment ref="B3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Willeke Kromkamp:</t>
        </r>
        <r>
          <rPr>
            <sz val="8"/>
            <color indexed="81"/>
            <rFont val="Tahoma"/>
            <family val="2"/>
          </rPr>
          <t xml:space="preserve">
84 dagen x 4 uur per dag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fs-02\home$\w.kromkamp\Mijn gegevensbronnen\mis-prod Cube Financieel Financieel.odc" keepAlive="1" name="mis-prod Cube Financieel Financieel" type="5" refreshedVersion="5" background="1">
    <dbPr connection="Provider=MSOLAP.5;Integrated Security=SSPI;Persist Security Info=True;Initial Catalog=Cube Financieel;Data Source=mis-prod;MDX Compatibility=1;Safety Options=2;MDX Missing Member Mode=Error" command="Financieel" commandType="1"/>
    <olapPr sendLocale="1" rowDrillCount="1000"/>
  </connection>
</connections>
</file>

<file path=xl/sharedStrings.xml><?xml version="1.0" encoding="utf-8"?>
<sst xmlns="http://schemas.openxmlformats.org/spreadsheetml/2006/main" count="620" uniqueCount="210">
  <si>
    <t>Totaal opbrengsten</t>
  </si>
  <si>
    <t>Uitgangspunt:</t>
  </si>
  <si>
    <t>VG 4 excl DB</t>
  </si>
  <si>
    <t>client p.dag</t>
  </si>
  <si>
    <t>NHC/NIC VG 4</t>
  </si>
  <si>
    <t>Dagbesteding</t>
  </si>
  <si>
    <t>client p.dagdeel</t>
  </si>
  <si>
    <t>Totaal verwachte opbrengsten per jaar</t>
  </si>
  <si>
    <t xml:space="preserve">Benodigde fte </t>
  </si>
  <si>
    <t>max salaris fte per maand</t>
  </si>
  <si>
    <t>Overige gegevens</t>
  </si>
  <si>
    <t>vakantiegeld</t>
  </si>
  <si>
    <t>eindejaarsuitkering</t>
  </si>
  <si>
    <t>percentage sociale lasten</t>
  </si>
  <si>
    <t>percentage pensioenpremie</t>
  </si>
  <si>
    <t>overige personele kosten tov loonkosten</t>
  </si>
  <si>
    <t>kosten voeding en hotelmatig tov opbrengsten</t>
  </si>
  <si>
    <t>kosten algemeen tov opbrengsten</t>
  </si>
  <si>
    <t>kosten clientgebonden tov opbrengsten</t>
  </si>
  <si>
    <t>kosten klein onderhoud en energie</t>
  </si>
  <si>
    <t>kosten groot onderhoud</t>
  </si>
  <si>
    <t>kosten rente/huur/afschrijvingen</t>
  </si>
  <si>
    <t>Exploitatiebegroting</t>
  </si>
  <si>
    <t>Opbrengsten zorg</t>
  </si>
  <si>
    <t>Opbrengsten huisvesting</t>
  </si>
  <si>
    <t>Loonkosten</t>
  </si>
  <si>
    <t>Premies</t>
  </si>
  <si>
    <t>Totaal loonkosten</t>
  </si>
  <si>
    <t>Overige personele kosten</t>
  </si>
  <si>
    <t>Kosten voeding en hotelmatig</t>
  </si>
  <si>
    <t>Algemene kosten</t>
  </si>
  <si>
    <t>Clientgebonden kosten</t>
  </si>
  <si>
    <t>Kosten rente en afschrijving</t>
  </si>
  <si>
    <t>Totaal overige kosten</t>
  </si>
  <si>
    <t>Resultaat voor doorbelasting</t>
  </si>
  <si>
    <t>Doorbelasting</t>
  </si>
  <si>
    <t>Resultaat na doobelasting</t>
  </si>
  <si>
    <t>VG 2 over voor DB</t>
  </si>
  <si>
    <t>schaal 45</t>
  </si>
  <si>
    <t>NHC/NIC GGZ-C</t>
  </si>
  <si>
    <t>NHC/NIC LVG 3</t>
  </si>
  <si>
    <t>Kosten klein onderhoud en energie</t>
  </si>
  <si>
    <t>Kosten groot onderhoud</t>
  </si>
  <si>
    <t>Studiebegel./dbh</t>
  </si>
  <si>
    <t xml:space="preserve">Tarieven </t>
  </si>
  <si>
    <t>Huishoudelijk</t>
  </si>
  <si>
    <t>schaal 20</t>
  </si>
  <si>
    <t>gem salaris fte per maand</t>
  </si>
  <si>
    <t>uur</t>
  </si>
  <si>
    <t>client</t>
  </si>
  <si>
    <t>Locatie:</t>
  </si>
  <si>
    <t>Alle bruteringsuren (incl. slaapdienst in tijd), behalve vergaderingen worden uit de flexpool ingevuld</t>
  </si>
  <si>
    <t>7.00 - 9.00</t>
  </si>
  <si>
    <t>14.00 - 22.30</t>
  </si>
  <si>
    <t>23.00 - 7.00</t>
  </si>
  <si>
    <t>Totaal:</t>
  </si>
  <si>
    <t>uur per dag</t>
  </si>
  <si>
    <t>uur per week</t>
  </si>
  <si>
    <t>Extra:</t>
  </si>
  <si>
    <t>uur per week voor PB-schap</t>
  </si>
  <si>
    <t xml:space="preserve">Totaal aantal netto uren: </t>
  </si>
  <si>
    <t>Exclusief slaapdienst</t>
  </si>
  <si>
    <t>uur =</t>
  </si>
  <si>
    <t>FTE</t>
  </si>
  <si>
    <t>Totaal</t>
  </si>
  <si>
    <t>Brutering:</t>
  </si>
  <si>
    <t>FTE gemiddeld per week</t>
  </si>
  <si>
    <t>Vergaderingen:</t>
  </si>
  <si>
    <t>Opleiding 40 uur per medw</t>
  </si>
  <si>
    <t>Feestdagenverlof:</t>
  </si>
  <si>
    <t>Verlof:</t>
  </si>
  <si>
    <t>PBL</t>
  </si>
  <si>
    <t>Verzuim (6%)</t>
  </si>
  <si>
    <t>uur per jaar</t>
  </si>
  <si>
    <t>FTE (dus excl. Vergaderingen)</t>
  </si>
  <si>
    <t>Slaapdiensten:</t>
  </si>
  <si>
    <t>FTE slaapdienst uit flex</t>
  </si>
  <si>
    <t>FTE in flexpool</t>
  </si>
  <si>
    <t>Formatie nodig:</t>
  </si>
  <si>
    <t>Inclusief slaapdiensten</t>
  </si>
  <si>
    <t>FTE:</t>
  </si>
  <si>
    <t>FTE inzet in formatie</t>
  </si>
  <si>
    <t>Opleiding</t>
  </si>
  <si>
    <t>uit flexpool</t>
  </si>
  <si>
    <t>Feestdagenverlof</t>
  </si>
  <si>
    <t>Verlof</t>
  </si>
  <si>
    <t>verzuim</t>
  </si>
  <si>
    <t>slaapdienst in tijd</t>
  </si>
  <si>
    <t>FTE in te zetten in formatie</t>
  </si>
  <si>
    <t>Huidige medewerkers op Volta 25-2:</t>
  </si>
  <si>
    <t>Naam:</t>
  </si>
  <si>
    <t>uren:</t>
  </si>
  <si>
    <t>Slaapdienstverg.</t>
  </si>
  <si>
    <t>K. te Welscher</t>
  </si>
  <si>
    <t>G</t>
  </si>
  <si>
    <t>A. Reitsma</t>
  </si>
  <si>
    <t>50/50</t>
  </si>
  <si>
    <t>P. Hoogstra</t>
  </si>
  <si>
    <t>A.G. Groenewold</t>
  </si>
  <si>
    <t>L. Hulzentop</t>
  </si>
  <si>
    <t>E.O. Rutten</t>
  </si>
  <si>
    <t xml:space="preserve">Ma, di, wo, do, </t>
  </si>
  <si>
    <t>Vrij, Zat, zon:</t>
  </si>
  <si>
    <t>7.30 - 17.30</t>
  </si>
  <si>
    <t>17.00 - 23.00</t>
  </si>
  <si>
    <t>(1,5 uur per twee weken voor 4 clienten)</t>
  </si>
  <si>
    <t xml:space="preserve">2 medew met vergoeding in geld = </t>
  </si>
  <si>
    <t>per dag</t>
  </si>
  <si>
    <t>Groepsleiding profiel A</t>
  </si>
  <si>
    <t>WLZ</t>
  </si>
  <si>
    <t>Slaapdienst (7 X 4 uur)</t>
  </si>
  <si>
    <t>141 uur zal ingevuld worden door 4 of 5 medewerkers</t>
  </si>
  <si>
    <t>uiteindelijk wordt het aantal Fte na brutering hoger, om die reden rekenen we in de brutering met 5 Fte.</t>
  </si>
  <si>
    <t>40 uur x 5 medewerkers</t>
  </si>
  <si>
    <t>4 FTE X 7 dagen X 7,2 uur =</t>
  </si>
  <si>
    <t>4 FTE X 144 uur =</t>
  </si>
  <si>
    <t>4 FTE X 57 uur  =</t>
  </si>
  <si>
    <t>4 FTE X 36 uur per week X 52 weken X 6% =</t>
  </si>
  <si>
    <t xml:space="preserve">26 vergaderingen X 1,5 uur X 5 medewerkers = </t>
  </si>
  <si>
    <t>Zorg</t>
  </si>
  <si>
    <t>Gezinshuisouder</t>
  </si>
  <si>
    <t>ORT gezinshuisouders</t>
  </si>
  <si>
    <t xml:space="preserve">LVG Drenthe </t>
  </si>
  <si>
    <t>Exploitatie begroting Gezinshuis Lenters</t>
  </si>
  <si>
    <t>1 clienten LVG 2</t>
  </si>
  <si>
    <t>LVG 2 Twente</t>
  </si>
  <si>
    <t>84 dagen (3 dagen om het weekend)</t>
  </si>
  <si>
    <t xml:space="preserve">overhead </t>
  </si>
  <si>
    <t>= 84 dagen x € 7,95</t>
  </si>
  <si>
    <t>= 84 dagen x € 12,30</t>
  </si>
  <si>
    <t>= 84 dagen x € 5,95</t>
  </si>
  <si>
    <t>Exploitatie begroting Specialistisch wonen</t>
  </si>
  <si>
    <t>Er moet op verzoek van de 14 Twentse gemeentes een businesscase worden opgesteld inzake specialistisch wonen (1 A4).</t>
  </si>
  <si>
    <t>Het gaat om een woonvraag voor 16-17- jarigen. Volgens Nederlands Jeugdinstituut zou sprake  moeten zijn van een KSW-woonvoorziening.</t>
  </si>
  <si>
    <t>In de berekening is het uitgangspunt een 3 onder een kap woning, met per wonig 4 jeugdigen. Hier staat een team met zorgmedwerkers</t>
  </si>
  <si>
    <t xml:space="preserve">Het gaat om een pilot. Gerekend met 24 uur per week clustermanager, 24 uur Gedragswetenschapper per week, 6 uur per week </t>
  </si>
  <si>
    <t>systeemtherpaie per groep.</t>
  </si>
  <si>
    <t>Salaris fte per maand</t>
  </si>
  <si>
    <t>ORT</t>
  </si>
  <si>
    <t>Type groep</t>
  </si>
  <si>
    <t>Zelfstandigheid (ZHT-I9)</t>
  </si>
  <si>
    <t>Gemiddelden</t>
  </si>
  <si>
    <t>Uren per week:</t>
  </si>
  <si>
    <t>FTE per week:</t>
  </si>
  <si>
    <t>ORT %:</t>
  </si>
  <si>
    <t>Type rooster</t>
  </si>
  <si>
    <t>Zelfstandigheid</t>
  </si>
  <si>
    <t>functie</t>
  </si>
  <si>
    <t>Toeslag per week:</t>
  </si>
  <si>
    <t>Aantal weken per jaar</t>
  </si>
  <si>
    <t>Rooster</t>
  </si>
  <si>
    <t>Type uren</t>
  </si>
  <si>
    <t>Welke dagen?</t>
  </si>
  <si>
    <t>Aantal dagen per week</t>
  </si>
  <si>
    <t>Begin tijd</t>
  </si>
  <si>
    <t>Eind tijd</t>
  </si>
  <si>
    <t>Aantal uren per week</t>
  </si>
  <si>
    <t>ORT 22%</t>
  </si>
  <si>
    <t>ORT 44%</t>
  </si>
  <si>
    <t>ORT 38%</t>
  </si>
  <si>
    <t>ORT 49%</t>
  </si>
  <si>
    <t>ORT 60%</t>
  </si>
  <si>
    <t>Werkdag - Dag dienst</t>
  </si>
  <si>
    <t>werk</t>
  </si>
  <si>
    <t>weekdag</t>
  </si>
  <si>
    <t>Werkdag - Late Dienst</t>
  </si>
  <si>
    <t>Werkdag - Slaap dienst</t>
  </si>
  <si>
    <t>slaap</t>
  </si>
  <si>
    <t>Werkdag - Uit slaap dienst</t>
  </si>
  <si>
    <t>Zaterdag - Dag dienst</t>
  </si>
  <si>
    <t>zaterdag</t>
  </si>
  <si>
    <t>Zaterdag - Late dienst</t>
  </si>
  <si>
    <t>Zaterdag - Slaap dienst</t>
  </si>
  <si>
    <t>Zaterdag - Uit slaap dienst</t>
  </si>
  <si>
    <t>Zondag - Dag dienst</t>
  </si>
  <si>
    <t>zondag</t>
  </si>
  <si>
    <t>Zondag - Late dienst</t>
  </si>
  <si>
    <t>Zondag - Slaap dienst</t>
  </si>
  <si>
    <t>Zondag - Uit slaap dienst</t>
  </si>
  <si>
    <t>PB rol - 2uur per client- geen vaste tijden</t>
  </si>
  <si>
    <t>Taakhouderschap, werkgroepen etc. 3 uur per week (groep)</t>
  </si>
  <si>
    <t>Lijst</t>
  </si>
  <si>
    <t>Groepsleider A</t>
  </si>
  <si>
    <t>Systeemtherapeut</t>
  </si>
  <si>
    <t>Benodigde fte (per woning)</t>
  </si>
  <si>
    <t>schaal 60</t>
  </si>
  <si>
    <t>Gedragswetenschapper</t>
  </si>
  <si>
    <t>Clustermanager</t>
  </si>
  <si>
    <t>schaal 65</t>
  </si>
  <si>
    <t>schaal 55</t>
  </si>
  <si>
    <t>Per woning</t>
  </si>
  <si>
    <t>Totaal 3 woningen</t>
  </si>
  <si>
    <t>Overige personele kosten 2%</t>
  </si>
  <si>
    <t>Kosten Onderhoud en energie</t>
  </si>
  <si>
    <t>Opbrengsten via subsidie</t>
  </si>
  <si>
    <t>8 uur per week per groep</t>
  </si>
  <si>
    <t>6 uur per week per groep</t>
  </si>
  <si>
    <t>Zie rooster hierachter</t>
  </si>
  <si>
    <t>3 uur per week per groep</t>
  </si>
  <si>
    <t>schaal 50</t>
  </si>
  <si>
    <t>slaapdienst gedeeld</t>
  </si>
  <si>
    <t>Percentage Risico-opslag</t>
  </si>
  <si>
    <t>Er moet op verzoek van de 14 Twentse gemeentes een businesscase worden opgesteld inzake specialistisch wonen (één A4).</t>
  </si>
  <si>
    <t>op, zodat per woning de hele dag een medewerker op de groep staat. M.u.v. de schooltijd van 10.00 uur tot 14.00 uur. (zie zorgrooster)</t>
  </si>
  <si>
    <t>Per etmaal, Per cliënt</t>
  </si>
  <si>
    <t>1e concept</t>
  </si>
  <si>
    <t>Resultaat voor overhead</t>
  </si>
  <si>
    <t>Overhead</t>
  </si>
  <si>
    <t>Resultaat na overhead</t>
  </si>
  <si>
    <t>overhead (algemene overhead 15% en regio-overhead 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</si>
</sst>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.0_ ;_ * \-#,##0.0_ ;_ * &quot;-&quot;?_ ;_ @_ "/>
    <numFmt numFmtId="166" formatCode="_ * #,##0.00_ ;_ * \-#,##0.00_ ;_ * &quot;-&quot;?_ ;_ @_ "/>
    <numFmt numFmtId="167" formatCode="0.0%"/>
    <numFmt numFmtId="168" formatCode="h:mm;@"/>
    <numFmt numFmtId="169" formatCode="_ * #,##0_ ;_ * \-#,##0_ ;_ * &quot;-&quot;??_ ;_ @_ "/>
    <numFmt numFmtId="170" formatCode="_ &quot;€&quot;\ * #,##0_ ;_ &quot;€&quot;\ * \-#,##0_ ;_ &quot;€&quot;\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2" fontId="0" fillId="0" borderId="0" xfId="0" applyNumberFormat="1"/>
    <xf numFmtId="3" fontId="0" fillId="0" borderId="0" xfId="0" applyNumberFormat="1"/>
    <xf numFmtId="10" fontId="0" fillId="0" borderId="0" xfId="0" applyNumberFormat="1"/>
    <xf numFmtId="0" fontId="2" fillId="0" borderId="0" xfId="0" applyFont="1"/>
    <xf numFmtId="4" fontId="0" fillId="0" borderId="0" xfId="0" applyNumberFormat="1"/>
    <xf numFmtId="0" fontId="3" fillId="0" borderId="0" xfId="0" applyFont="1"/>
    <xf numFmtId="3" fontId="0" fillId="0" borderId="1" xfId="0" applyNumberFormat="1" applyBorder="1"/>
    <xf numFmtId="0" fontId="0" fillId="0" borderId="0" xfId="0" applyFont="1"/>
    <xf numFmtId="0" fontId="0" fillId="0" borderId="0" xfId="0" applyAlignment="1">
      <alignment horizontal="right"/>
    </xf>
    <xf numFmtId="3" fontId="0" fillId="0" borderId="2" xfId="0" applyNumberFormat="1" applyBorder="1"/>
    <xf numFmtId="3" fontId="0" fillId="0" borderId="0" xfId="0" applyNumberFormat="1" applyFill="1"/>
    <xf numFmtId="0" fontId="0" fillId="0" borderId="0" xfId="0" quotePrefix="1"/>
    <xf numFmtId="4" fontId="0" fillId="0" borderId="0" xfId="0" applyNumberFormat="1" applyFill="1"/>
    <xf numFmtId="0" fontId="4" fillId="0" borderId="0" xfId="0" applyFont="1"/>
    <xf numFmtId="0" fontId="5" fillId="0" borderId="0" xfId="0" applyFont="1"/>
    <xf numFmtId="2" fontId="1" fillId="0" borderId="0" xfId="0" applyNumberFormat="1" applyFont="1"/>
    <xf numFmtId="2" fontId="4" fillId="0" borderId="0" xfId="0" applyNumberFormat="1" applyFont="1"/>
    <xf numFmtId="0" fontId="0" fillId="0" borderId="0" xfId="0" applyAlignment="1">
      <alignment horizontal="center"/>
    </xf>
    <xf numFmtId="9" fontId="0" fillId="0" borderId="0" xfId="0" applyNumberFormat="1"/>
    <xf numFmtId="3" fontId="1" fillId="0" borderId="0" xfId="0" applyNumberFormat="1" applyFont="1"/>
    <xf numFmtId="164" fontId="10" fillId="0" borderId="0" xfId="1" applyNumberFormat="1" applyFont="1" applyProtection="1">
      <protection locked="0"/>
    </xf>
    <xf numFmtId="0" fontId="11" fillId="0" borderId="0" xfId="0" applyFont="1" applyAlignment="1">
      <alignment horizontal="right"/>
    </xf>
    <xf numFmtId="165" fontId="10" fillId="2" borderId="0" xfId="1" applyNumberFormat="1" applyFont="1" applyFill="1"/>
    <xf numFmtId="166" fontId="10" fillId="2" borderId="0" xfId="1" applyNumberFormat="1" applyFont="1" applyFill="1"/>
    <xf numFmtId="167" fontId="10" fillId="2" borderId="0" xfId="3" applyNumberFormat="1" applyFont="1" applyFill="1"/>
    <xf numFmtId="164" fontId="10" fillId="0" borderId="0" xfId="1" applyNumberFormat="1" applyFont="1"/>
    <xf numFmtId="164" fontId="10" fillId="3" borderId="0" xfId="1" applyNumberFormat="1" applyFont="1" applyFill="1"/>
    <xf numFmtId="164" fontId="1" fillId="0" borderId="0" xfId="1" applyNumberFormat="1" applyFont="1" applyFill="1"/>
    <xf numFmtId="0" fontId="1" fillId="4" borderId="0" xfId="0" applyFont="1" applyFill="1" applyProtection="1">
      <protection locked="0"/>
    </xf>
    <xf numFmtId="43" fontId="10" fillId="3" borderId="0" xfId="1" applyFont="1" applyFill="1"/>
    <xf numFmtId="167" fontId="10" fillId="3" borderId="0" xfId="3" applyNumberFormat="1" applyFont="1" applyFill="1"/>
    <xf numFmtId="165" fontId="0" fillId="0" borderId="0" xfId="0" applyNumberFormat="1"/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vertical="top" wrapText="1"/>
    </xf>
    <xf numFmtId="168" fontId="12" fillId="5" borderId="2" xfId="0" applyNumberFormat="1" applyFont="1" applyFill="1" applyBorder="1" applyAlignment="1">
      <alignment vertical="top" textRotation="90" wrapText="1"/>
    </xf>
    <xf numFmtId="0" fontId="9" fillId="5" borderId="2" xfId="0" applyFont="1" applyFill="1" applyBorder="1" applyAlignment="1">
      <alignment vertical="top" textRotation="90" wrapText="1"/>
    </xf>
    <xf numFmtId="168" fontId="0" fillId="0" borderId="0" xfId="0" applyNumberFormat="1" applyAlignment="1">
      <alignment horizontal="center"/>
    </xf>
    <xf numFmtId="164" fontId="1" fillId="0" borderId="0" xfId="1" applyNumberFormat="1" applyFont="1"/>
    <xf numFmtId="0" fontId="13" fillId="0" borderId="0" xfId="0" applyFont="1" applyAlignment="1">
      <alignment horizontal="center"/>
    </xf>
    <xf numFmtId="164" fontId="8" fillId="0" borderId="0" xfId="1" applyNumberFormat="1" applyFont="1" applyBorder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164" fontId="8" fillId="0" borderId="2" xfId="1" applyNumberFormat="1" applyFont="1" applyBorder="1"/>
    <xf numFmtId="169" fontId="1" fillId="0" borderId="0" xfId="1" applyNumberFormat="1" applyFont="1"/>
    <xf numFmtId="169" fontId="0" fillId="0" borderId="0" xfId="1" applyNumberFormat="1" applyFont="1"/>
    <xf numFmtId="167" fontId="0" fillId="0" borderId="0" xfId="3" applyNumberFormat="1" applyFont="1"/>
    <xf numFmtId="164" fontId="0" fillId="0" borderId="0" xfId="0" applyNumberFormat="1"/>
    <xf numFmtId="0" fontId="14" fillId="0" borderId="0" xfId="0" applyFont="1"/>
    <xf numFmtId="167" fontId="14" fillId="0" borderId="0" xfId="3" applyNumberFormat="1" applyFont="1"/>
    <xf numFmtId="0" fontId="1" fillId="0" borderId="0" xfId="0" applyFont="1" applyAlignment="1">
      <alignment horizontal="right"/>
    </xf>
    <xf numFmtId="10" fontId="0" fillId="0" borderId="0" xfId="3" applyNumberFormat="1" applyFont="1"/>
    <xf numFmtId="44" fontId="0" fillId="0" borderId="0" xfId="2" applyFont="1"/>
    <xf numFmtId="170" fontId="0" fillId="0" borderId="0" xfId="2" applyNumberFormat="1" applyFont="1"/>
    <xf numFmtId="170" fontId="0" fillId="0" borderId="2" xfId="2" applyNumberFormat="1" applyFont="1" applyBorder="1"/>
    <xf numFmtId="44" fontId="0" fillId="0" borderId="0" xfId="2" applyNumberFormat="1" applyFont="1"/>
    <xf numFmtId="44" fontId="0" fillId="0" borderId="2" xfId="2" applyNumberFormat="1" applyFont="1" applyBorder="1"/>
    <xf numFmtId="4" fontId="1" fillId="0" borderId="0" xfId="0" applyNumberFormat="1" applyFont="1"/>
    <xf numFmtId="170" fontId="1" fillId="0" borderId="0" xfId="2" applyNumberFormat="1" applyFont="1"/>
    <xf numFmtId="44" fontId="1" fillId="0" borderId="0" xfId="2" applyNumberFormat="1" applyFont="1"/>
    <xf numFmtId="170" fontId="1" fillId="0" borderId="2" xfId="2" applyNumberFormat="1" applyFont="1" applyBorder="1"/>
    <xf numFmtId="44" fontId="1" fillId="0" borderId="2" xfId="2" applyNumberFormat="1" applyFont="1" applyBorder="1"/>
    <xf numFmtId="170" fontId="1" fillId="0" borderId="1" xfId="2" applyNumberFormat="1" applyFont="1" applyBorder="1"/>
    <xf numFmtId="44" fontId="1" fillId="0" borderId="1" xfId="2" applyNumberFormat="1" applyFont="1" applyBorder="1"/>
    <xf numFmtId="170" fontId="8" fillId="0" borderId="2" xfId="2" applyNumberFormat="1" applyFont="1" applyBorder="1"/>
    <xf numFmtId="44" fontId="8" fillId="0" borderId="2" xfId="2" applyNumberFormat="1" applyFont="1" applyBorder="1"/>
    <xf numFmtId="0" fontId="1" fillId="0" borderId="0" xfId="0" applyFont="1" applyAlignment="1">
      <alignment wrapText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ichtingambiq.sharepoint.com/sites/Teams/PenC/Gedeelde%20%20documenten/Begrotingstool/2018%20inz%20kp/Ambiq%20standaard%20zorgrooster%202018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rgrooster VZ"/>
      <sheetName val="Zorgrooster zelfst"/>
      <sheetName val="Zorgrooster CO"/>
      <sheetName val="Zorgrooster IB"/>
      <sheetName val="Zorgrooster ZIB"/>
      <sheetName val="Zorgrooster OKB"/>
      <sheetName val="Zorgrooster VZ (2)"/>
      <sheetName val="Zorgrooster NDB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C14">
            <v>0.72923322683706071</v>
          </cell>
        </row>
        <row r="20">
          <cell r="B20" t="str">
            <v>Ambulant A</v>
          </cell>
          <cell r="E20">
            <v>0</v>
          </cell>
        </row>
        <row r="21">
          <cell r="B21" t="str">
            <v>Ambulant B</v>
          </cell>
          <cell r="E21">
            <v>2.0833333333333332E-2</v>
          </cell>
        </row>
        <row r="22">
          <cell r="B22" t="str">
            <v>Ambulant C</v>
          </cell>
          <cell r="E22">
            <v>4.1666666666666699E-2</v>
          </cell>
        </row>
        <row r="23">
          <cell r="B23" t="str">
            <v>Civiel medewerker</v>
          </cell>
          <cell r="E23">
            <v>6.25E-2</v>
          </cell>
        </row>
        <row r="24">
          <cell r="B24" t="str">
            <v>Gedragswetenschapper</v>
          </cell>
          <cell r="E24">
            <v>8.3333333333333301E-2</v>
          </cell>
        </row>
        <row r="25">
          <cell r="B25" t="str">
            <v>Groepsleider A</v>
          </cell>
          <cell r="E25">
            <v>0.104166666666667</v>
          </cell>
        </row>
        <row r="26">
          <cell r="B26" t="str">
            <v>Groepsleider B</v>
          </cell>
          <cell r="E26">
            <v>0.125</v>
          </cell>
        </row>
        <row r="27">
          <cell r="B27" t="str">
            <v>PDW-er</v>
          </cell>
          <cell r="E27">
            <v>0.14583333333333301</v>
          </cell>
        </row>
        <row r="28">
          <cell r="B28" t="str">
            <v>Psychiater</v>
          </cell>
          <cell r="E28">
            <v>0.16666666666666699</v>
          </cell>
        </row>
        <row r="29">
          <cell r="B29" t="str">
            <v>Systeemtherapeut</v>
          </cell>
          <cell r="E29">
            <v>0.1875</v>
          </cell>
        </row>
        <row r="30">
          <cell r="B30" t="str">
            <v>Therapeut</v>
          </cell>
          <cell r="E30">
            <v>0.20833333333333301</v>
          </cell>
        </row>
        <row r="31">
          <cell r="E31">
            <v>0.22916666666666699</v>
          </cell>
        </row>
        <row r="32">
          <cell r="E32">
            <v>0.25</v>
          </cell>
        </row>
        <row r="33">
          <cell r="E33">
            <v>0.27083333333333298</v>
          </cell>
        </row>
        <row r="34">
          <cell r="E34">
            <v>0.29166666666666702</v>
          </cell>
        </row>
        <row r="35">
          <cell r="E35">
            <v>0.312500000000001</v>
          </cell>
        </row>
        <row r="36">
          <cell r="E36">
            <v>0.33333333333333498</v>
          </cell>
        </row>
        <row r="37">
          <cell r="E37">
            <v>0.35416666666666902</v>
          </cell>
        </row>
        <row r="38">
          <cell r="E38">
            <v>0.375000000000003</v>
          </cell>
        </row>
        <row r="39">
          <cell r="E39">
            <v>0.39583333333333698</v>
          </cell>
        </row>
        <row r="40">
          <cell r="E40">
            <v>0.41666666666667102</v>
          </cell>
        </row>
        <row r="41">
          <cell r="E41">
            <v>0.437500000000005</v>
          </cell>
        </row>
        <row r="42">
          <cell r="E42">
            <v>0.45833333333333898</v>
          </cell>
        </row>
        <row r="43">
          <cell r="E43">
            <v>0.47916666666667301</v>
          </cell>
        </row>
        <row r="44">
          <cell r="E44">
            <v>0.50000000000000699</v>
          </cell>
        </row>
        <row r="45">
          <cell r="E45">
            <v>0.52083333333334103</v>
          </cell>
        </row>
        <row r="46">
          <cell r="E46">
            <v>0.54166666666667496</v>
          </cell>
        </row>
        <row r="47">
          <cell r="E47">
            <v>0.56250000000000999</v>
          </cell>
        </row>
        <row r="48">
          <cell r="E48">
            <v>0.58333333333334403</v>
          </cell>
        </row>
        <row r="49">
          <cell r="E49">
            <v>0.60416666666667795</v>
          </cell>
        </row>
        <row r="50">
          <cell r="E50">
            <v>0.62500000000001199</v>
          </cell>
        </row>
        <row r="51">
          <cell r="E51">
            <v>0.64583333333334603</v>
          </cell>
        </row>
        <row r="52">
          <cell r="E52">
            <v>0.66666666666667995</v>
          </cell>
        </row>
        <row r="53">
          <cell r="E53">
            <v>0.68750000000001399</v>
          </cell>
        </row>
        <row r="54">
          <cell r="E54">
            <v>0.70833333333334803</v>
          </cell>
        </row>
        <row r="55">
          <cell r="E55">
            <v>0.72916666666668195</v>
          </cell>
        </row>
        <row r="56">
          <cell r="E56">
            <v>0.75000000000001599</v>
          </cell>
        </row>
        <row r="57">
          <cell r="E57">
            <v>0.77083333333335002</v>
          </cell>
        </row>
        <row r="58">
          <cell r="E58">
            <v>0.79166666666668395</v>
          </cell>
        </row>
        <row r="59">
          <cell r="E59">
            <v>0.81250000000001799</v>
          </cell>
        </row>
        <row r="60">
          <cell r="E60">
            <v>0.83333333333335202</v>
          </cell>
        </row>
        <row r="61">
          <cell r="E61">
            <v>0.85416666666668595</v>
          </cell>
        </row>
        <row r="62">
          <cell r="E62">
            <v>0.87500000000001998</v>
          </cell>
        </row>
        <row r="63">
          <cell r="E63">
            <v>0.89583333333335402</v>
          </cell>
        </row>
        <row r="64">
          <cell r="E64">
            <v>0.91666666666668795</v>
          </cell>
        </row>
        <row r="65">
          <cell r="E65">
            <v>0.93750000000002198</v>
          </cell>
        </row>
        <row r="66">
          <cell r="E66">
            <v>0.95833333333335602</v>
          </cell>
        </row>
        <row r="67">
          <cell r="E67">
            <v>0.97916666666669006</v>
          </cell>
        </row>
        <row r="68">
          <cell r="E68">
            <v>1.00000000000002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22.42578125" customWidth="1"/>
    <col min="2" max="2" width="9.140625" style="6"/>
    <col min="3" max="3" width="10.140625" customWidth="1"/>
    <col min="4" max="4" width="19.7109375" customWidth="1"/>
    <col min="5" max="5" width="17.42578125" bestFit="1" customWidth="1"/>
    <col min="6" max="6" width="11.85546875" customWidth="1"/>
    <col min="7" max="7" width="10.7109375" customWidth="1"/>
    <col min="8" max="8" width="19.5703125" customWidth="1"/>
    <col min="9" max="9" width="6.42578125" customWidth="1"/>
    <col min="10" max="10" width="14.140625" customWidth="1"/>
    <col min="11" max="11" width="3" customWidth="1"/>
    <col min="12" max="12" width="14.42578125" customWidth="1"/>
    <col min="13" max="13" width="10.7109375" customWidth="1"/>
  </cols>
  <sheetData>
    <row r="1" spans="1:10" ht="18.75" x14ac:dyDescent="0.3">
      <c r="A1" s="5" t="s">
        <v>131</v>
      </c>
    </row>
    <row r="2" spans="1:10" x14ac:dyDescent="0.25">
      <c r="A2" t="s">
        <v>205</v>
      </c>
    </row>
    <row r="3" spans="1:10" x14ac:dyDescent="0.25">
      <c r="A3" s="7" t="s">
        <v>1</v>
      </c>
    </row>
    <row r="4" spans="1:10" x14ac:dyDescent="0.25">
      <c r="A4" t="s">
        <v>202</v>
      </c>
      <c r="D4" s="2"/>
      <c r="J4" s="2"/>
    </row>
    <row r="5" spans="1:10" x14ac:dyDescent="0.25">
      <c r="A5" t="s">
        <v>133</v>
      </c>
      <c r="H5" s="2"/>
      <c r="J5" s="2"/>
    </row>
    <row r="6" spans="1:10" x14ac:dyDescent="0.25">
      <c r="A6" s="13" t="s">
        <v>134</v>
      </c>
      <c r="H6" s="2"/>
      <c r="J6" s="2"/>
    </row>
    <row r="7" spans="1:10" x14ac:dyDescent="0.25">
      <c r="A7" s="13" t="s">
        <v>203</v>
      </c>
      <c r="H7" s="2"/>
      <c r="J7" s="2"/>
    </row>
    <row r="8" spans="1:10" x14ac:dyDescent="0.25">
      <c r="A8" s="13" t="s">
        <v>135</v>
      </c>
      <c r="H8" s="2"/>
      <c r="J8" s="2"/>
    </row>
    <row r="9" spans="1:10" x14ac:dyDescent="0.25">
      <c r="A9" s="13" t="s">
        <v>136</v>
      </c>
      <c r="H9" s="2"/>
      <c r="J9" s="2"/>
    </row>
    <row r="11" spans="1:10" x14ac:dyDescent="0.25">
      <c r="A11" s="7" t="s">
        <v>44</v>
      </c>
    </row>
    <row r="12" spans="1:10" x14ac:dyDescent="0.25">
      <c r="D12" s="2"/>
      <c r="F12" s="3"/>
    </row>
    <row r="13" spans="1:10" x14ac:dyDescent="0.25">
      <c r="A13" t="s">
        <v>194</v>
      </c>
      <c r="D13" s="2"/>
      <c r="F13" s="3"/>
    </row>
    <row r="14" spans="1:10" x14ac:dyDescent="0.25">
      <c r="D14" s="2"/>
      <c r="F14" s="3"/>
    </row>
    <row r="16" spans="1:10" x14ac:dyDescent="0.25">
      <c r="A16" s="7" t="s">
        <v>184</v>
      </c>
    </row>
    <row r="17" spans="1:8" x14ac:dyDescent="0.25">
      <c r="A17" s="9"/>
    </row>
    <row r="18" spans="1:8" x14ac:dyDescent="0.25">
      <c r="A18" t="s">
        <v>45</v>
      </c>
      <c r="B18" s="6">
        <v>0.08</v>
      </c>
      <c r="D18" t="s">
        <v>137</v>
      </c>
      <c r="F18" s="3">
        <v>2354</v>
      </c>
      <c r="G18" t="s">
        <v>46</v>
      </c>
      <c r="H18" t="s">
        <v>198</v>
      </c>
    </row>
    <row r="19" spans="1:8" x14ac:dyDescent="0.25">
      <c r="A19" t="s">
        <v>108</v>
      </c>
      <c r="B19" s="14">
        <v>5.33</v>
      </c>
      <c r="D19" t="s">
        <v>137</v>
      </c>
      <c r="F19" s="3">
        <v>3144</v>
      </c>
      <c r="G19" t="s">
        <v>38</v>
      </c>
      <c r="H19" t="s">
        <v>197</v>
      </c>
    </row>
    <row r="20" spans="1:8" x14ac:dyDescent="0.25">
      <c r="A20" t="s">
        <v>183</v>
      </c>
      <c r="B20" s="14">
        <f>6/36</f>
        <v>0.16666666666666666</v>
      </c>
      <c r="D20" t="s">
        <v>137</v>
      </c>
      <c r="F20" s="3">
        <v>4525</v>
      </c>
      <c r="G20" t="s">
        <v>185</v>
      </c>
      <c r="H20" t="s">
        <v>196</v>
      </c>
    </row>
    <row r="21" spans="1:8" x14ac:dyDescent="0.25">
      <c r="A21" t="s">
        <v>186</v>
      </c>
      <c r="B21" s="14">
        <f>8/36</f>
        <v>0.22222222222222221</v>
      </c>
      <c r="D21" t="s">
        <v>137</v>
      </c>
      <c r="F21" s="3">
        <v>5225</v>
      </c>
      <c r="G21" t="s">
        <v>188</v>
      </c>
      <c r="H21" t="s">
        <v>195</v>
      </c>
    </row>
    <row r="22" spans="1:8" x14ac:dyDescent="0.25">
      <c r="A22" t="s">
        <v>187</v>
      </c>
      <c r="B22" s="14">
        <f>8/36</f>
        <v>0.22222222222222221</v>
      </c>
      <c r="D22" t="s">
        <v>137</v>
      </c>
      <c r="F22" s="3">
        <v>4059</v>
      </c>
      <c r="G22" t="s">
        <v>189</v>
      </c>
      <c r="H22" t="s">
        <v>195</v>
      </c>
    </row>
    <row r="23" spans="1:8" x14ac:dyDescent="0.25">
      <c r="B23" s="14"/>
      <c r="G23" s="3"/>
    </row>
    <row r="24" spans="1:8" x14ac:dyDescent="0.25">
      <c r="G24" s="3"/>
    </row>
    <row r="25" spans="1:8" x14ac:dyDescent="0.25">
      <c r="G25" s="3"/>
    </row>
    <row r="26" spans="1:8" x14ac:dyDescent="0.25">
      <c r="A26" s="7" t="s">
        <v>10</v>
      </c>
      <c r="G26" s="3"/>
    </row>
    <row r="27" spans="1:8" x14ac:dyDescent="0.25">
      <c r="A27" t="s">
        <v>11</v>
      </c>
      <c r="F27" s="4">
        <v>0.08</v>
      </c>
    </row>
    <row r="28" spans="1:8" x14ac:dyDescent="0.25">
      <c r="A28" t="s">
        <v>12</v>
      </c>
      <c r="F28" s="4">
        <v>8.3299999999999999E-2</v>
      </c>
    </row>
    <row r="29" spans="1:8" x14ac:dyDescent="0.25">
      <c r="A29" t="s">
        <v>138</v>
      </c>
      <c r="F29" s="4">
        <v>0.1</v>
      </c>
    </row>
    <row r="30" spans="1:8" x14ac:dyDescent="0.25">
      <c r="A30" t="s">
        <v>13</v>
      </c>
      <c r="F30" s="4">
        <v>0.16</v>
      </c>
    </row>
    <row r="31" spans="1:8" x14ac:dyDescent="0.25">
      <c r="A31" t="s">
        <v>14</v>
      </c>
      <c r="F31" s="4">
        <v>8.5000000000000006E-2</v>
      </c>
    </row>
    <row r="32" spans="1:8" x14ac:dyDescent="0.25">
      <c r="A32" t="s">
        <v>209</v>
      </c>
      <c r="F32" s="4">
        <v>0.2</v>
      </c>
      <c r="H32" s="3"/>
    </row>
    <row r="33" spans="1:8" x14ac:dyDescent="0.25">
      <c r="F33" s="4"/>
      <c r="H33" s="3"/>
    </row>
    <row r="36" spans="1:8" x14ac:dyDescent="0.25">
      <c r="A36" s="1" t="s">
        <v>22</v>
      </c>
      <c r="D36" s="10"/>
    </row>
    <row r="37" spans="1:8" ht="30" x14ac:dyDescent="0.25">
      <c r="D37" s="55" t="s">
        <v>190</v>
      </c>
      <c r="E37" s="1" t="s">
        <v>191</v>
      </c>
      <c r="F37" s="71" t="s">
        <v>204</v>
      </c>
    </row>
    <row r="38" spans="1:8" x14ac:dyDescent="0.25">
      <c r="A38" t="s">
        <v>23</v>
      </c>
      <c r="D38" s="58">
        <v>517000</v>
      </c>
      <c r="E38" s="58">
        <f>D38*3</f>
        <v>1551000</v>
      </c>
      <c r="F38" s="60">
        <f>D38/365/4</f>
        <v>354.10958904109589</v>
      </c>
    </row>
    <row r="39" spans="1:8" x14ac:dyDescent="0.25">
      <c r="A39" t="s">
        <v>24</v>
      </c>
      <c r="D39" s="59">
        <f>0.125*D38</f>
        <v>64625</v>
      </c>
      <c r="E39" s="59">
        <f t="shared" ref="E39:E56" si="0">D39*3</f>
        <v>193875</v>
      </c>
      <c r="F39" s="61">
        <f t="shared" ref="F39:F56" si="1">D39/365/4</f>
        <v>44.263698630136986</v>
      </c>
    </row>
    <row r="40" spans="1:8" x14ac:dyDescent="0.25">
      <c r="A40" s="1" t="s">
        <v>0</v>
      </c>
      <c r="B40" s="62"/>
      <c r="C40" s="1"/>
      <c r="D40" s="63">
        <f>D38+D39</f>
        <v>581625</v>
      </c>
      <c r="E40" s="63">
        <f t="shared" si="0"/>
        <v>1744875</v>
      </c>
      <c r="F40" s="64">
        <f t="shared" si="1"/>
        <v>398.3732876712329</v>
      </c>
    </row>
    <row r="41" spans="1:8" x14ac:dyDescent="0.25">
      <c r="D41" s="58"/>
      <c r="E41" s="58"/>
      <c r="F41" s="60"/>
    </row>
    <row r="42" spans="1:8" x14ac:dyDescent="0.25">
      <c r="A42" t="s">
        <v>25</v>
      </c>
      <c r="D42" s="58">
        <f>((F18*B18*12)+(F19*B19*12)+(F20*B20*12)+(F21*B21*12)+(F22*B22*12)+((F18*B18*12)+(F19*B19*12)+(F20*B20*12)+(F21*B21*12)+(F22*B22*12))*F27+((F18*B18*12)+(F19*B19*12)+(F20*B20*12)+(F21*B21*12)+(F22*B22*12))*F28+((F19*B19*12)+(B20*F20*12))*F29)</f>
        <v>296899.24293066666</v>
      </c>
      <c r="E42" s="58">
        <f t="shared" si="0"/>
        <v>890697.72879199998</v>
      </c>
      <c r="F42" s="60">
        <f t="shared" si="1"/>
        <v>203.35564584292237</v>
      </c>
    </row>
    <row r="43" spans="1:8" x14ac:dyDescent="0.25">
      <c r="A43" t="s">
        <v>26</v>
      </c>
      <c r="D43" s="59">
        <f>D42*F31+D42*F30+F22*F30*F31</f>
        <v>72795.516918013323</v>
      </c>
      <c r="E43" s="59">
        <f t="shared" si="0"/>
        <v>218386.55075403996</v>
      </c>
      <c r="F43" s="61">
        <f t="shared" si="1"/>
        <v>49.859943094529676</v>
      </c>
    </row>
    <row r="44" spans="1:8" x14ac:dyDescent="0.25">
      <c r="A44" s="1" t="s">
        <v>27</v>
      </c>
      <c r="D44" s="63">
        <f>D42+D43</f>
        <v>369694.75984868</v>
      </c>
      <c r="E44" s="63">
        <f t="shared" si="0"/>
        <v>1109084.2795460401</v>
      </c>
      <c r="F44" s="64">
        <f t="shared" si="1"/>
        <v>253.21558893745205</v>
      </c>
    </row>
    <row r="45" spans="1:8" x14ac:dyDescent="0.25">
      <c r="D45" s="58"/>
      <c r="E45" s="58"/>
      <c r="F45" s="60">
        <f t="shared" si="1"/>
        <v>0</v>
      </c>
    </row>
    <row r="46" spans="1:8" x14ac:dyDescent="0.25">
      <c r="A46" t="s">
        <v>192</v>
      </c>
      <c r="D46" s="58">
        <f>0.02*D44</f>
        <v>7393.8951969735999</v>
      </c>
      <c r="E46" s="58">
        <f t="shared" si="0"/>
        <v>22181.685590920799</v>
      </c>
      <c r="F46" s="60">
        <f t="shared" si="1"/>
        <v>5.0643117787490413</v>
      </c>
    </row>
    <row r="47" spans="1:8" x14ac:dyDescent="0.25">
      <c r="A47" t="s">
        <v>29</v>
      </c>
      <c r="D47" s="58">
        <f>8.25*365*4</f>
        <v>12045</v>
      </c>
      <c r="E47" s="58">
        <f t="shared" si="0"/>
        <v>36135</v>
      </c>
      <c r="F47" s="60">
        <f t="shared" si="1"/>
        <v>8.25</v>
      </c>
    </row>
    <row r="48" spans="1:8" x14ac:dyDescent="0.25">
      <c r="A48" t="s">
        <v>30</v>
      </c>
      <c r="D48" s="58">
        <v>2000</v>
      </c>
      <c r="E48" s="58">
        <f t="shared" si="0"/>
        <v>6000</v>
      </c>
      <c r="F48" s="60">
        <f t="shared" si="1"/>
        <v>1.3698630136986301</v>
      </c>
    </row>
    <row r="49" spans="1:6" x14ac:dyDescent="0.25">
      <c r="A49" t="s">
        <v>31</v>
      </c>
      <c r="D49" s="58">
        <f>2.5*365*4</f>
        <v>3650</v>
      </c>
      <c r="E49" s="58">
        <f t="shared" si="0"/>
        <v>10950</v>
      </c>
      <c r="F49" s="60">
        <f t="shared" si="1"/>
        <v>2.5</v>
      </c>
    </row>
    <row r="50" spans="1:6" x14ac:dyDescent="0.25">
      <c r="A50" t="s">
        <v>193</v>
      </c>
      <c r="D50" s="58">
        <v>31500</v>
      </c>
      <c r="E50" s="58">
        <f t="shared" si="0"/>
        <v>94500</v>
      </c>
      <c r="F50" s="60">
        <f t="shared" si="1"/>
        <v>21.575342465753426</v>
      </c>
    </row>
    <row r="51" spans="1:6" x14ac:dyDescent="0.25">
      <c r="A51" t="s">
        <v>32</v>
      </c>
      <c r="D51" s="69">
        <v>30000</v>
      </c>
      <c r="E51" s="69">
        <f t="shared" si="0"/>
        <v>90000</v>
      </c>
      <c r="F51" s="70">
        <f t="shared" si="1"/>
        <v>20.547945205479451</v>
      </c>
    </row>
    <row r="52" spans="1:6" x14ac:dyDescent="0.25">
      <c r="A52" s="1" t="s">
        <v>33</v>
      </c>
      <c r="D52" s="63">
        <f>SUM(D46:D51)</f>
        <v>86588.895196973608</v>
      </c>
      <c r="E52" s="63">
        <f t="shared" si="0"/>
        <v>259766.68559092082</v>
      </c>
      <c r="F52" s="64">
        <f t="shared" si="1"/>
        <v>59.307462463680551</v>
      </c>
    </row>
    <row r="53" spans="1:6" x14ac:dyDescent="0.25">
      <c r="D53" s="58"/>
      <c r="E53" s="58"/>
      <c r="F53" s="60"/>
    </row>
    <row r="54" spans="1:6" x14ac:dyDescent="0.25">
      <c r="A54" t="s">
        <v>206</v>
      </c>
      <c r="D54" s="58">
        <f>D40-D44-D52</f>
        <v>125341.34495434639</v>
      </c>
      <c r="E54" s="58">
        <f t="shared" si="0"/>
        <v>376024.03486303915</v>
      </c>
      <c r="F54" s="60">
        <f t="shared" si="1"/>
        <v>85.850236270100268</v>
      </c>
    </row>
    <row r="55" spans="1:6" x14ac:dyDescent="0.25">
      <c r="A55" t="s">
        <v>207</v>
      </c>
      <c r="D55" s="58">
        <f>(F32*D38)+(1/9*D39)</f>
        <v>110580.55555555556</v>
      </c>
      <c r="E55" s="58">
        <f t="shared" si="0"/>
        <v>331741.66666666669</v>
      </c>
      <c r="F55" s="60">
        <f t="shared" si="1"/>
        <v>75.740106544901067</v>
      </c>
    </row>
    <row r="56" spans="1:6" ht="15.75" thickBot="1" x14ac:dyDescent="0.3">
      <c r="A56" s="1" t="s">
        <v>208</v>
      </c>
      <c r="D56" s="67">
        <f>D54-D55</f>
        <v>14760.789398790832</v>
      </c>
      <c r="E56" s="67">
        <f t="shared" si="0"/>
        <v>44282.368196372496</v>
      </c>
      <c r="F56" s="68">
        <f t="shared" si="1"/>
        <v>10.110129725199199</v>
      </c>
    </row>
    <row r="57" spans="1:6" ht="15.75" thickTop="1" x14ac:dyDescent="0.25">
      <c r="A57" t="s">
        <v>201</v>
      </c>
      <c r="D57" s="56">
        <f>D56/D40</f>
        <v>2.5378533245288343E-2</v>
      </c>
      <c r="E57" s="56">
        <f>E56/E40</f>
        <v>2.5378533245288343E-2</v>
      </c>
      <c r="F57" s="5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3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7313-9E12-4E6D-B60A-2C11FACBD5E6}">
  <dimension ref="A1:J57"/>
  <sheetViews>
    <sheetView view="pageBreakPreview" topLeftCell="A28" zoomScaleNormal="100" zoomScaleSheetLayoutView="100" workbookViewId="0">
      <selection activeCell="A31" sqref="A31"/>
    </sheetView>
  </sheetViews>
  <sheetFormatPr defaultRowHeight="15" x14ac:dyDescent="0.25"/>
  <cols>
    <col min="1" max="1" width="22.42578125" customWidth="1"/>
    <col min="2" max="2" width="9.140625" style="6"/>
    <col min="3" max="3" width="10.140625" customWidth="1"/>
    <col min="4" max="4" width="19.7109375" customWidth="1"/>
    <col min="5" max="5" width="17.42578125" bestFit="1" customWidth="1"/>
    <col min="6" max="6" width="13.140625" customWidth="1"/>
    <col min="7" max="7" width="10.7109375" customWidth="1"/>
    <col min="8" max="8" width="19.5703125" customWidth="1"/>
    <col min="9" max="9" width="6.42578125" customWidth="1"/>
    <col min="10" max="10" width="14.140625" customWidth="1"/>
    <col min="11" max="11" width="3" customWidth="1"/>
    <col min="12" max="12" width="14.42578125" customWidth="1"/>
    <col min="13" max="13" width="10.7109375" customWidth="1"/>
  </cols>
  <sheetData>
    <row r="1" spans="1:10" ht="18.75" x14ac:dyDescent="0.3">
      <c r="A1" s="5" t="s">
        <v>131</v>
      </c>
    </row>
    <row r="2" spans="1:10" x14ac:dyDescent="0.25">
      <c r="A2" t="s">
        <v>205</v>
      </c>
    </row>
    <row r="3" spans="1:10" x14ac:dyDescent="0.25">
      <c r="A3" s="7" t="s">
        <v>1</v>
      </c>
    </row>
    <row r="4" spans="1:10" x14ac:dyDescent="0.25">
      <c r="A4" t="s">
        <v>132</v>
      </c>
      <c r="D4" s="2"/>
      <c r="J4" s="2"/>
    </row>
    <row r="5" spans="1:10" x14ac:dyDescent="0.25">
      <c r="A5" t="s">
        <v>133</v>
      </c>
      <c r="H5" s="2"/>
      <c r="J5" s="2"/>
    </row>
    <row r="6" spans="1:10" x14ac:dyDescent="0.25">
      <c r="A6" s="13" t="s">
        <v>134</v>
      </c>
      <c r="H6" s="2"/>
      <c r="J6" s="2"/>
    </row>
    <row r="7" spans="1:10" x14ac:dyDescent="0.25">
      <c r="A7" s="13" t="s">
        <v>203</v>
      </c>
      <c r="H7" s="2"/>
      <c r="J7" s="2"/>
    </row>
    <row r="8" spans="1:10" x14ac:dyDescent="0.25">
      <c r="A8" s="13" t="s">
        <v>135</v>
      </c>
      <c r="H8" s="2"/>
      <c r="J8" s="2"/>
    </row>
    <row r="9" spans="1:10" x14ac:dyDescent="0.25">
      <c r="A9" s="13" t="s">
        <v>136</v>
      </c>
      <c r="H9" s="2"/>
      <c r="J9" s="2"/>
    </row>
    <row r="11" spans="1:10" x14ac:dyDescent="0.25">
      <c r="A11" s="7" t="s">
        <v>44</v>
      </c>
    </row>
    <row r="12" spans="1:10" x14ac:dyDescent="0.25">
      <c r="D12" s="2"/>
      <c r="F12" s="3"/>
    </row>
    <row r="13" spans="1:10" x14ac:dyDescent="0.25">
      <c r="A13" t="s">
        <v>194</v>
      </c>
      <c r="D13" s="2"/>
      <c r="F13" s="3"/>
    </row>
    <row r="14" spans="1:10" x14ac:dyDescent="0.25">
      <c r="D14" s="2"/>
      <c r="F14" s="3"/>
    </row>
    <row r="16" spans="1:10" x14ac:dyDescent="0.25">
      <c r="A16" s="7" t="s">
        <v>184</v>
      </c>
    </row>
    <row r="17" spans="1:8" x14ac:dyDescent="0.25">
      <c r="A17" s="9"/>
    </row>
    <row r="18" spans="1:8" x14ac:dyDescent="0.25">
      <c r="A18" t="s">
        <v>45</v>
      </c>
      <c r="B18" s="6">
        <v>0.08</v>
      </c>
      <c r="D18" t="s">
        <v>137</v>
      </c>
      <c r="F18" s="3">
        <v>2354</v>
      </c>
      <c r="G18" t="s">
        <v>46</v>
      </c>
      <c r="H18" t="s">
        <v>198</v>
      </c>
    </row>
    <row r="19" spans="1:8" x14ac:dyDescent="0.25">
      <c r="A19" t="s">
        <v>108</v>
      </c>
      <c r="B19" s="14">
        <v>5.33</v>
      </c>
      <c r="D19" t="s">
        <v>137</v>
      </c>
      <c r="F19" s="3">
        <v>3588</v>
      </c>
      <c r="G19" t="s">
        <v>199</v>
      </c>
      <c r="H19" t="s">
        <v>197</v>
      </c>
    </row>
    <row r="20" spans="1:8" x14ac:dyDescent="0.25">
      <c r="A20" t="s">
        <v>183</v>
      </c>
      <c r="B20" s="14">
        <f>6/36</f>
        <v>0.16666666666666666</v>
      </c>
      <c r="D20" t="s">
        <v>137</v>
      </c>
      <c r="F20" s="3">
        <v>4525</v>
      </c>
      <c r="G20" t="s">
        <v>185</v>
      </c>
      <c r="H20" t="s">
        <v>196</v>
      </c>
    </row>
    <row r="21" spans="1:8" x14ac:dyDescent="0.25">
      <c r="A21" t="s">
        <v>186</v>
      </c>
      <c r="B21" s="14">
        <f>8/36</f>
        <v>0.22222222222222221</v>
      </c>
      <c r="D21" t="s">
        <v>137</v>
      </c>
      <c r="F21" s="3">
        <v>5225</v>
      </c>
      <c r="G21" t="s">
        <v>188</v>
      </c>
      <c r="H21" t="s">
        <v>195</v>
      </c>
    </row>
    <row r="22" spans="1:8" x14ac:dyDescent="0.25">
      <c r="A22" t="s">
        <v>187</v>
      </c>
      <c r="B22" s="14">
        <f>8/36</f>
        <v>0.22222222222222221</v>
      </c>
      <c r="D22" t="s">
        <v>137</v>
      </c>
      <c r="F22" s="3">
        <v>4059</v>
      </c>
      <c r="G22" t="s">
        <v>189</v>
      </c>
      <c r="H22" t="s">
        <v>195</v>
      </c>
    </row>
    <row r="23" spans="1:8" x14ac:dyDescent="0.25">
      <c r="B23" s="14"/>
      <c r="G23" s="3"/>
    </row>
    <row r="24" spans="1:8" x14ac:dyDescent="0.25">
      <c r="G24" s="3"/>
    </row>
    <row r="25" spans="1:8" x14ac:dyDescent="0.25">
      <c r="G25" s="3"/>
    </row>
    <row r="26" spans="1:8" x14ac:dyDescent="0.25">
      <c r="A26" s="7" t="s">
        <v>10</v>
      </c>
      <c r="G26" s="3"/>
    </row>
    <row r="27" spans="1:8" x14ac:dyDescent="0.25">
      <c r="A27" t="s">
        <v>11</v>
      </c>
      <c r="F27" s="4">
        <v>0.08</v>
      </c>
    </row>
    <row r="28" spans="1:8" x14ac:dyDescent="0.25">
      <c r="A28" t="s">
        <v>12</v>
      </c>
      <c r="F28" s="4">
        <v>8.3299999999999999E-2</v>
      </c>
    </row>
    <row r="29" spans="1:8" x14ac:dyDescent="0.25">
      <c r="A29" t="s">
        <v>138</v>
      </c>
      <c r="F29" s="4">
        <v>0.1</v>
      </c>
    </row>
    <row r="30" spans="1:8" x14ac:dyDescent="0.25">
      <c r="A30" t="s">
        <v>13</v>
      </c>
      <c r="F30" s="4">
        <v>0.16</v>
      </c>
    </row>
    <row r="31" spans="1:8" x14ac:dyDescent="0.25">
      <c r="A31" t="s">
        <v>14</v>
      </c>
      <c r="F31" s="4">
        <v>8.5000000000000006E-2</v>
      </c>
    </row>
    <row r="32" spans="1:8" x14ac:dyDescent="0.25">
      <c r="A32" t="s">
        <v>209</v>
      </c>
      <c r="F32" s="4">
        <v>0.2</v>
      </c>
      <c r="H32" s="3"/>
    </row>
    <row r="33" spans="1:8" x14ac:dyDescent="0.25">
      <c r="F33" s="4"/>
      <c r="H33" s="3"/>
    </row>
    <row r="36" spans="1:8" x14ac:dyDescent="0.25">
      <c r="A36" s="1" t="s">
        <v>22</v>
      </c>
      <c r="D36" s="10"/>
    </row>
    <row r="37" spans="1:8" ht="30" x14ac:dyDescent="0.25">
      <c r="D37" s="55" t="s">
        <v>190</v>
      </c>
      <c r="E37" s="1" t="s">
        <v>191</v>
      </c>
      <c r="F37" s="71" t="s">
        <v>204</v>
      </c>
    </row>
    <row r="38" spans="1:8" x14ac:dyDescent="0.25">
      <c r="A38" t="s">
        <v>23</v>
      </c>
      <c r="D38" s="58">
        <v>568500</v>
      </c>
      <c r="E38" s="58">
        <f>D38*3</f>
        <v>1705500</v>
      </c>
      <c r="F38" s="60">
        <f>D38/365/4</f>
        <v>389.38356164383561</v>
      </c>
    </row>
    <row r="39" spans="1:8" x14ac:dyDescent="0.25">
      <c r="A39" t="s">
        <v>24</v>
      </c>
      <c r="D39" s="59">
        <f>0.125*D38</f>
        <v>71062.5</v>
      </c>
      <c r="E39" s="59">
        <f t="shared" ref="E39:E56" si="0">D39*3</f>
        <v>213187.5</v>
      </c>
      <c r="F39" s="61">
        <f t="shared" ref="F39:F56" si="1">D39/365/4</f>
        <v>48.672945205479451</v>
      </c>
    </row>
    <row r="40" spans="1:8" x14ac:dyDescent="0.25">
      <c r="A40" s="1" t="s">
        <v>0</v>
      </c>
      <c r="B40" s="62"/>
      <c r="C40" s="1"/>
      <c r="D40" s="63">
        <f>D38+D39</f>
        <v>639562.5</v>
      </c>
      <c r="E40" s="63">
        <f t="shared" si="0"/>
        <v>1918687.5</v>
      </c>
      <c r="F40" s="64">
        <f t="shared" si="1"/>
        <v>438.05650684931504</v>
      </c>
    </row>
    <row r="41" spans="1:8" x14ac:dyDescent="0.25">
      <c r="D41" s="58"/>
      <c r="E41" s="58"/>
      <c r="F41" s="60"/>
    </row>
    <row r="42" spans="1:8" x14ac:dyDescent="0.25">
      <c r="A42" t="s">
        <v>25</v>
      </c>
      <c r="D42" s="58">
        <f>((F18*B18*12)+(F19*B19*12)+(F20*B20*12)+(F21*B21*12)+(F22*B22*12)+((F18*B18*12)+(F19*B19*12)+(F20*B20*12)+(F21*B21*12)+(F22*B22*12))*F27+((F18*B18*12)+(F19*B19*12)+(F20*B20*12)+(F21*B21*12)+(F22*B22*12))*F28+((F19*B19*12)+(B20*F20*12))*F29)</f>
        <v>332774.73952266667</v>
      </c>
      <c r="E42" s="58">
        <f t="shared" si="0"/>
        <v>998324.21856800001</v>
      </c>
      <c r="F42" s="60">
        <f t="shared" si="1"/>
        <v>227.9279037826484</v>
      </c>
    </row>
    <row r="43" spans="1:8" x14ac:dyDescent="0.25">
      <c r="A43" t="s">
        <v>26</v>
      </c>
      <c r="D43" s="59">
        <f>D42*F31+D42*F30+F22*F30*F31</f>
        <v>81585.013583053325</v>
      </c>
      <c r="E43" s="59">
        <f t="shared" si="0"/>
        <v>244755.04074915999</v>
      </c>
      <c r="F43" s="61">
        <f t="shared" si="1"/>
        <v>55.88014628976255</v>
      </c>
    </row>
    <row r="44" spans="1:8" x14ac:dyDescent="0.25">
      <c r="A44" s="1" t="s">
        <v>27</v>
      </c>
      <c r="D44" s="63">
        <f>D42+D43</f>
        <v>414359.75310571998</v>
      </c>
      <c r="E44" s="63">
        <f t="shared" si="0"/>
        <v>1243079.2593171599</v>
      </c>
      <c r="F44" s="64">
        <f t="shared" si="1"/>
        <v>283.80805007241094</v>
      </c>
    </row>
    <row r="45" spans="1:8" x14ac:dyDescent="0.25">
      <c r="D45" s="58"/>
      <c r="E45" s="58"/>
      <c r="F45" s="60">
        <f t="shared" si="1"/>
        <v>0</v>
      </c>
    </row>
    <row r="46" spans="1:8" x14ac:dyDescent="0.25">
      <c r="A46" t="s">
        <v>192</v>
      </c>
      <c r="D46" s="58">
        <f>0.02*D44</f>
        <v>8287.1950621144006</v>
      </c>
      <c r="E46" s="58">
        <f t="shared" si="0"/>
        <v>24861.585186343204</v>
      </c>
      <c r="F46" s="60">
        <f t="shared" si="1"/>
        <v>5.6761610014482198</v>
      </c>
    </row>
    <row r="47" spans="1:8" x14ac:dyDescent="0.25">
      <c r="A47" t="s">
        <v>29</v>
      </c>
      <c r="D47" s="58">
        <f>8.25*365*4</f>
        <v>12045</v>
      </c>
      <c r="E47" s="58">
        <f t="shared" si="0"/>
        <v>36135</v>
      </c>
      <c r="F47" s="60">
        <f t="shared" si="1"/>
        <v>8.25</v>
      </c>
    </row>
    <row r="48" spans="1:8" x14ac:dyDescent="0.25">
      <c r="A48" t="s">
        <v>30</v>
      </c>
      <c r="D48" s="58">
        <v>2000</v>
      </c>
      <c r="E48" s="58">
        <f t="shared" si="0"/>
        <v>6000</v>
      </c>
      <c r="F48" s="60">
        <f t="shared" si="1"/>
        <v>1.3698630136986301</v>
      </c>
    </row>
    <row r="49" spans="1:6" x14ac:dyDescent="0.25">
      <c r="A49" t="s">
        <v>31</v>
      </c>
      <c r="D49" s="58">
        <f>2.5*365*4</f>
        <v>3650</v>
      </c>
      <c r="E49" s="58">
        <f t="shared" si="0"/>
        <v>10950</v>
      </c>
      <c r="F49" s="60">
        <f t="shared" si="1"/>
        <v>2.5</v>
      </c>
    </row>
    <row r="50" spans="1:6" x14ac:dyDescent="0.25">
      <c r="A50" t="s">
        <v>193</v>
      </c>
      <c r="D50" s="58">
        <v>31500</v>
      </c>
      <c r="E50" s="58">
        <f t="shared" si="0"/>
        <v>94500</v>
      </c>
      <c r="F50" s="60">
        <f t="shared" si="1"/>
        <v>21.575342465753426</v>
      </c>
    </row>
    <row r="51" spans="1:6" x14ac:dyDescent="0.25">
      <c r="A51" t="s">
        <v>32</v>
      </c>
      <c r="D51" s="69">
        <v>30000</v>
      </c>
      <c r="E51" s="69">
        <f t="shared" si="0"/>
        <v>90000</v>
      </c>
      <c r="F51" s="70">
        <f t="shared" si="1"/>
        <v>20.547945205479451</v>
      </c>
    </row>
    <row r="52" spans="1:6" x14ac:dyDescent="0.25">
      <c r="A52" s="1" t="s">
        <v>33</v>
      </c>
      <c r="D52" s="63">
        <f>SUM(D46:D51)</f>
        <v>87482.195062114391</v>
      </c>
      <c r="E52" s="63">
        <f t="shared" si="0"/>
        <v>262446.58518634317</v>
      </c>
      <c r="F52" s="64">
        <f t="shared" si="1"/>
        <v>59.919311686379721</v>
      </c>
    </row>
    <row r="53" spans="1:6" x14ac:dyDescent="0.25">
      <c r="D53" s="58"/>
      <c r="E53" s="58"/>
      <c r="F53" s="60"/>
    </row>
    <row r="54" spans="1:6" x14ac:dyDescent="0.25">
      <c r="A54" t="s">
        <v>206</v>
      </c>
      <c r="D54" s="58">
        <f>D40-D44-D52</f>
        <v>137720.55183216563</v>
      </c>
      <c r="E54" s="58">
        <f t="shared" si="0"/>
        <v>413161.65549649688</v>
      </c>
      <c r="F54" s="60">
        <f t="shared" si="1"/>
        <v>94.329145090524406</v>
      </c>
    </row>
    <row r="55" spans="1:6" x14ac:dyDescent="0.25">
      <c r="A55" t="s">
        <v>207</v>
      </c>
      <c r="D55" s="58">
        <f>(F32*D38)+(1/9*D39)</f>
        <v>121595.83333333333</v>
      </c>
      <c r="E55" s="58">
        <f t="shared" si="0"/>
        <v>364787.5</v>
      </c>
      <c r="F55" s="60">
        <f t="shared" si="1"/>
        <v>83.284817351598164</v>
      </c>
    </row>
    <row r="56" spans="1:6" ht="15.75" thickBot="1" x14ac:dyDescent="0.3">
      <c r="A56" s="1" t="s">
        <v>208</v>
      </c>
      <c r="D56" s="67">
        <f>D54-D55</f>
        <v>16124.718498832299</v>
      </c>
      <c r="E56" s="67">
        <f t="shared" si="0"/>
        <v>48374.155496496896</v>
      </c>
      <c r="F56" s="68">
        <f t="shared" si="1"/>
        <v>11.044327738926231</v>
      </c>
    </row>
    <row r="57" spans="1:6" ht="15.75" thickTop="1" x14ac:dyDescent="0.25">
      <c r="A57" t="s">
        <v>201</v>
      </c>
      <c r="D57" s="56">
        <f>D56/D40</f>
        <v>2.5212107493532372E-2</v>
      </c>
      <c r="E57" s="56">
        <f>E56/E40</f>
        <v>2.5212107493532372E-2</v>
      </c>
      <c r="F57" s="5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3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EA42-ED2E-4CC8-B74F-9EC2591A2E92}">
  <dimension ref="A1:J57"/>
  <sheetViews>
    <sheetView view="pageBreakPreview" zoomScaleNormal="100" zoomScaleSheetLayoutView="100" workbookViewId="0">
      <selection activeCell="D55" sqref="D55"/>
    </sheetView>
  </sheetViews>
  <sheetFormatPr defaultRowHeight="15" x14ac:dyDescent="0.25"/>
  <cols>
    <col min="1" max="1" width="22.42578125" customWidth="1"/>
    <col min="2" max="2" width="9.140625" style="6"/>
    <col min="3" max="3" width="10.140625" customWidth="1"/>
    <col min="4" max="4" width="19.7109375" customWidth="1"/>
    <col min="5" max="5" width="20" customWidth="1"/>
    <col min="6" max="6" width="12.28515625" customWidth="1"/>
    <col min="7" max="7" width="10.7109375" customWidth="1"/>
    <col min="8" max="8" width="19.5703125" customWidth="1"/>
    <col min="9" max="9" width="6.42578125" customWidth="1"/>
    <col min="10" max="10" width="14.140625" customWidth="1"/>
    <col min="11" max="11" width="3" customWidth="1"/>
    <col min="12" max="12" width="14.42578125" customWidth="1"/>
    <col min="13" max="13" width="10.7109375" customWidth="1"/>
  </cols>
  <sheetData>
    <row r="1" spans="1:10" ht="18.75" x14ac:dyDescent="0.3">
      <c r="A1" s="5" t="s">
        <v>131</v>
      </c>
    </row>
    <row r="2" spans="1:10" x14ac:dyDescent="0.25">
      <c r="A2" t="s">
        <v>205</v>
      </c>
    </row>
    <row r="3" spans="1:10" x14ac:dyDescent="0.25">
      <c r="A3" s="7" t="s">
        <v>1</v>
      </c>
    </row>
    <row r="4" spans="1:10" x14ac:dyDescent="0.25">
      <c r="A4" t="s">
        <v>132</v>
      </c>
      <c r="D4" s="2"/>
      <c r="J4" s="2"/>
    </row>
    <row r="5" spans="1:10" x14ac:dyDescent="0.25">
      <c r="A5" t="s">
        <v>133</v>
      </c>
      <c r="H5" s="2"/>
      <c r="J5" s="2"/>
    </row>
    <row r="6" spans="1:10" x14ac:dyDescent="0.25">
      <c r="A6" s="13" t="s">
        <v>134</v>
      </c>
      <c r="H6" s="2"/>
      <c r="J6" s="2"/>
    </row>
    <row r="7" spans="1:10" x14ac:dyDescent="0.25">
      <c r="A7" s="13" t="s">
        <v>203</v>
      </c>
      <c r="H7" s="2"/>
      <c r="J7" s="2"/>
    </row>
    <row r="8" spans="1:10" x14ac:dyDescent="0.25">
      <c r="A8" s="13" t="s">
        <v>135</v>
      </c>
      <c r="H8" s="2"/>
      <c r="J8" s="2"/>
    </row>
    <row r="9" spans="1:10" x14ac:dyDescent="0.25">
      <c r="A9" s="13" t="s">
        <v>136</v>
      </c>
      <c r="H9" s="2"/>
      <c r="J9" s="2"/>
    </row>
    <row r="11" spans="1:10" x14ac:dyDescent="0.25">
      <c r="A11" s="7" t="s">
        <v>44</v>
      </c>
    </row>
    <row r="12" spans="1:10" x14ac:dyDescent="0.25">
      <c r="D12" s="2"/>
      <c r="F12" s="3"/>
    </row>
    <row r="13" spans="1:10" x14ac:dyDescent="0.25">
      <c r="A13" t="s">
        <v>194</v>
      </c>
      <c r="D13" s="2"/>
      <c r="F13" s="3"/>
    </row>
    <row r="14" spans="1:10" x14ac:dyDescent="0.25">
      <c r="D14" s="2"/>
      <c r="F14" s="3"/>
    </row>
    <row r="16" spans="1:10" x14ac:dyDescent="0.25">
      <c r="A16" s="7" t="s">
        <v>184</v>
      </c>
    </row>
    <row r="17" spans="1:8" x14ac:dyDescent="0.25">
      <c r="A17" s="9"/>
    </row>
    <row r="18" spans="1:8" x14ac:dyDescent="0.25">
      <c r="A18" t="s">
        <v>45</v>
      </c>
      <c r="B18" s="6">
        <v>0.08</v>
      </c>
      <c r="D18" t="s">
        <v>137</v>
      </c>
      <c r="F18" s="3">
        <v>2354</v>
      </c>
      <c r="G18" t="s">
        <v>46</v>
      </c>
      <c r="H18" t="s">
        <v>198</v>
      </c>
    </row>
    <row r="19" spans="1:8" x14ac:dyDescent="0.25">
      <c r="A19" t="s">
        <v>108</v>
      </c>
      <c r="B19" s="14">
        <f>5.33-0.5</f>
        <v>4.83</v>
      </c>
      <c r="D19" t="s">
        <v>137</v>
      </c>
      <c r="E19" t="s">
        <v>200</v>
      </c>
      <c r="F19" s="3">
        <v>3144</v>
      </c>
      <c r="G19" t="s">
        <v>38</v>
      </c>
      <c r="H19" t="s">
        <v>197</v>
      </c>
    </row>
    <row r="20" spans="1:8" x14ac:dyDescent="0.25">
      <c r="A20" t="s">
        <v>183</v>
      </c>
      <c r="B20" s="14">
        <f>6/36</f>
        <v>0.16666666666666666</v>
      </c>
      <c r="D20" t="s">
        <v>137</v>
      </c>
      <c r="F20" s="3">
        <v>4525</v>
      </c>
      <c r="G20" t="s">
        <v>185</v>
      </c>
      <c r="H20" t="s">
        <v>196</v>
      </c>
    </row>
    <row r="21" spans="1:8" x14ac:dyDescent="0.25">
      <c r="A21" t="s">
        <v>186</v>
      </c>
      <c r="B21" s="14">
        <f>8/36</f>
        <v>0.22222222222222221</v>
      </c>
      <c r="D21" t="s">
        <v>137</v>
      </c>
      <c r="F21" s="3">
        <v>5225</v>
      </c>
      <c r="G21" t="s">
        <v>188</v>
      </c>
      <c r="H21" t="s">
        <v>195</v>
      </c>
    </row>
    <row r="22" spans="1:8" x14ac:dyDescent="0.25">
      <c r="A22" t="s">
        <v>187</v>
      </c>
      <c r="B22" s="14">
        <f>8/36</f>
        <v>0.22222222222222221</v>
      </c>
      <c r="D22" t="s">
        <v>137</v>
      </c>
      <c r="F22" s="3">
        <v>4059</v>
      </c>
      <c r="G22" t="s">
        <v>189</v>
      </c>
      <c r="H22" t="s">
        <v>195</v>
      </c>
    </row>
    <row r="23" spans="1:8" x14ac:dyDescent="0.25">
      <c r="B23" s="14"/>
      <c r="G23" s="3"/>
    </row>
    <row r="24" spans="1:8" x14ac:dyDescent="0.25">
      <c r="G24" s="3"/>
    </row>
    <row r="25" spans="1:8" x14ac:dyDescent="0.25">
      <c r="G25" s="3"/>
    </row>
    <row r="26" spans="1:8" x14ac:dyDescent="0.25">
      <c r="A26" s="7" t="s">
        <v>10</v>
      </c>
      <c r="G26" s="3"/>
    </row>
    <row r="27" spans="1:8" x14ac:dyDescent="0.25">
      <c r="A27" t="s">
        <v>11</v>
      </c>
      <c r="F27" s="4">
        <v>0.08</v>
      </c>
    </row>
    <row r="28" spans="1:8" x14ac:dyDescent="0.25">
      <c r="A28" t="s">
        <v>12</v>
      </c>
      <c r="F28" s="4">
        <v>8.3299999999999999E-2</v>
      </c>
    </row>
    <row r="29" spans="1:8" x14ac:dyDescent="0.25">
      <c r="A29" t="s">
        <v>138</v>
      </c>
      <c r="F29" s="4">
        <v>0.1</v>
      </c>
    </row>
    <row r="30" spans="1:8" x14ac:dyDescent="0.25">
      <c r="A30" t="s">
        <v>13</v>
      </c>
      <c r="F30" s="4">
        <v>0.16</v>
      </c>
    </row>
    <row r="31" spans="1:8" x14ac:dyDescent="0.25">
      <c r="A31" t="s">
        <v>14</v>
      </c>
      <c r="F31" s="4">
        <v>8.5000000000000006E-2</v>
      </c>
    </row>
    <row r="32" spans="1:8" x14ac:dyDescent="0.25">
      <c r="A32" t="s">
        <v>209</v>
      </c>
      <c r="F32" s="4">
        <v>0.2</v>
      </c>
      <c r="H32" s="3"/>
    </row>
    <row r="33" spans="1:8" x14ac:dyDescent="0.25">
      <c r="F33" s="4"/>
      <c r="H33" s="3"/>
    </row>
    <row r="36" spans="1:8" x14ac:dyDescent="0.25">
      <c r="A36" s="1" t="s">
        <v>22</v>
      </c>
      <c r="D36" s="10"/>
    </row>
    <row r="37" spans="1:8" ht="30" x14ac:dyDescent="0.25">
      <c r="D37" s="55" t="s">
        <v>190</v>
      </c>
      <c r="E37" s="1" t="s">
        <v>191</v>
      </c>
      <c r="F37" s="71" t="s">
        <v>204</v>
      </c>
    </row>
    <row r="38" spans="1:8" x14ac:dyDescent="0.25">
      <c r="A38" t="s">
        <v>23</v>
      </c>
      <c r="D38" s="58">
        <v>483000</v>
      </c>
      <c r="E38" s="58">
        <f>D38*3</f>
        <v>1449000</v>
      </c>
      <c r="F38" s="60">
        <f>D38/365/4</f>
        <v>330.82191780821915</v>
      </c>
    </row>
    <row r="39" spans="1:8" x14ac:dyDescent="0.25">
      <c r="A39" t="s">
        <v>24</v>
      </c>
      <c r="D39" s="59">
        <f>0.125*D38</f>
        <v>60375</v>
      </c>
      <c r="E39" s="59">
        <f t="shared" ref="E39:E56" si="0">D39*3</f>
        <v>181125</v>
      </c>
      <c r="F39" s="61">
        <f t="shared" ref="F39:F56" si="1">D39/365/4</f>
        <v>41.352739726027394</v>
      </c>
    </row>
    <row r="40" spans="1:8" x14ac:dyDescent="0.25">
      <c r="A40" s="1" t="s">
        <v>0</v>
      </c>
      <c r="B40" s="62"/>
      <c r="C40" s="1"/>
      <c r="D40" s="63">
        <f>D38+D39</f>
        <v>543375</v>
      </c>
      <c r="E40" s="63">
        <f t="shared" si="0"/>
        <v>1630125</v>
      </c>
      <c r="F40" s="64">
        <f t="shared" si="1"/>
        <v>372.17465753424659</v>
      </c>
    </row>
    <row r="41" spans="1:8" x14ac:dyDescent="0.25">
      <c r="D41" s="58"/>
      <c r="E41" s="58"/>
      <c r="F41" s="60"/>
    </row>
    <row r="42" spans="1:8" x14ac:dyDescent="0.25">
      <c r="A42" t="s">
        <v>25</v>
      </c>
      <c r="D42" s="58">
        <f>((F18*B18*12)+(F19*B19*12)+(F20*B20*12)+(F21*B21*12)+(F22*B22*12)+((F18*B18*12)+(F19*B19*12)+(F20*B20*12)+(F21*B21*12)+(F22*B22*12))*F27+((F18*B18*12)+(F19*B19*12)+(F20*B20*12)+(F21*B21*12)+(F22*B22*12))*F28+((F19*B19*12)+(B20*F20*12))*F29)</f>
        <v>273068.35173066665</v>
      </c>
      <c r="E42" s="58">
        <f t="shared" si="0"/>
        <v>819205.055192</v>
      </c>
      <c r="F42" s="60">
        <f t="shared" si="1"/>
        <v>187.03311762374429</v>
      </c>
    </row>
    <row r="43" spans="1:8" x14ac:dyDescent="0.25">
      <c r="A43" t="s">
        <v>26</v>
      </c>
      <c r="D43" s="59">
        <f>D42*F31+D42*F30+F22*F30*F31</f>
        <v>66956.948574013324</v>
      </c>
      <c r="E43" s="59">
        <f t="shared" si="0"/>
        <v>200870.84572203999</v>
      </c>
      <c r="F43" s="61">
        <f t="shared" si="1"/>
        <v>45.860923680831043</v>
      </c>
    </row>
    <row r="44" spans="1:8" x14ac:dyDescent="0.25">
      <c r="A44" s="1" t="s">
        <v>27</v>
      </c>
      <c r="D44" s="63">
        <f>D42+D43</f>
        <v>340025.30030467996</v>
      </c>
      <c r="E44" s="63">
        <f t="shared" si="0"/>
        <v>1020075.9009140399</v>
      </c>
      <c r="F44" s="64">
        <f t="shared" si="1"/>
        <v>232.89404130457532</v>
      </c>
    </row>
    <row r="45" spans="1:8" x14ac:dyDescent="0.25">
      <c r="D45" s="58"/>
      <c r="E45" s="58"/>
      <c r="F45" s="60">
        <f t="shared" si="1"/>
        <v>0</v>
      </c>
    </row>
    <row r="46" spans="1:8" x14ac:dyDescent="0.25">
      <c r="A46" t="s">
        <v>192</v>
      </c>
      <c r="D46" s="58">
        <f>0.02*D44</f>
        <v>6800.5060060935994</v>
      </c>
      <c r="E46" s="58">
        <f t="shared" si="0"/>
        <v>20401.518018280796</v>
      </c>
      <c r="F46" s="60">
        <f t="shared" si="1"/>
        <v>4.6578808260915068</v>
      </c>
    </row>
    <row r="47" spans="1:8" x14ac:dyDescent="0.25">
      <c r="A47" t="s">
        <v>29</v>
      </c>
      <c r="D47" s="58">
        <f>8.25*365*4</f>
        <v>12045</v>
      </c>
      <c r="E47" s="58">
        <f t="shared" si="0"/>
        <v>36135</v>
      </c>
      <c r="F47" s="60">
        <f t="shared" si="1"/>
        <v>8.25</v>
      </c>
    </row>
    <row r="48" spans="1:8" x14ac:dyDescent="0.25">
      <c r="A48" t="s">
        <v>30</v>
      </c>
      <c r="D48" s="58">
        <v>2000</v>
      </c>
      <c r="E48" s="58">
        <f t="shared" si="0"/>
        <v>6000</v>
      </c>
      <c r="F48" s="60">
        <f t="shared" si="1"/>
        <v>1.3698630136986301</v>
      </c>
    </row>
    <row r="49" spans="1:6" x14ac:dyDescent="0.25">
      <c r="A49" t="s">
        <v>31</v>
      </c>
      <c r="D49" s="58">
        <f>2.5*365*4</f>
        <v>3650</v>
      </c>
      <c r="E49" s="58">
        <f t="shared" si="0"/>
        <v>10950</v>
      </c>
      <c r="F49" s="60">
        <f t="shared" si="1"/>
        <v>2.5</v>
      </c>
    </row>
    <row r="50" spans="1:6" x14ac:dyDescent="0.25">
      <c r="A50" t="s">
        <v>193</v>
      </c>
      <c r="D50" s="58">
        <v>31500</v>
      </c>
      <c r="E50" s="58">
        <f t="shared" si="0"/>
        <v>94500</v>
      </c>
      <c r="F50" s="60">
        <f t="shared" si="1"/>
        <v>21.575342465753426</v>
      </c>
    </row>
    <row r="51" spans="1:6" x14ac:dyDescent="0.25">
      <c r="A51" t="s">
        <v>32</v>
      </c>
      <c r="D51" s="65">
        <v>30000</v>
      </c>
      <c r="E51" s="65">
        <f t="shared" si="0"/>
        <v>90000</v>
      </c>
      <c r="F51" s="66">
        <f t="shared" si="1"/>
        <v>20.547945205479451</v>
      </c>
    </row>
    <row r="52" spans="1:6" x14ac:dyDescent="0.25">
      <c r="A52" s="1" t="s">
        <v>33</v>
      </c>
      <c r="D52" s="63">
        <f>SUM(D46:D51)</f>
        <v>85995.506006093608</v>
      </c>
      <c r="E52" s="63">
        <f t="shared" si="0"/>
        <v>257986.51801828083</v>
      </c>
      <c r="F52" s="64">
        <f t="shared" si="1"/>
        <v>58.901031511023021</v>
      </c>
    </row>
    <row r="53" spans="1:6" x14ac:dyDescent="0.25">
      <c r="D53" s="58"/>
      <c r="E53" s="58"/>
      <c r="F53" s="60"/>
    </row>
    <row r="54" spans="1:6" x14ac:dyDescent="0.25">
      <c r="A54" t="s">
        <v>206</v>
      </c>
      <c r="D54" s="58">
        <f>D40-D44-D52</f>
        <v>117354.19368922643</v>
      </c>
      <c r="E54" s="58">
        <f t="shared" si="0"/>
        <v>352062.58106767933</v>
      </c>
      <c r="F54" s="60">
        <f t="shared" si="1"/>
        <v>80.379584718648246</v>
      </c>
    </row>
    <row r="55" spans="1:6" x14ac:dyDescent="0.25">
      <c r="A55" t="s">
        <v>207</v>
      </c>
      <c r="D55" s="58">
        <f>(F32*D38)+(1/9*D39)</f>
        <v>103308.33333333333</v>
      </c>
      <c r="E55" s="58">
        <f t="shared" si="0"/>
        <v>309925</v>
      </c>
      <c r="F55" s="60">
        <f t="shared" si="1"/>
        <v>70.759132420091319</v>
      </c>
    </row>
    <row r="56" spans="1:6" ht="15.75" thickBot="1" x14ac:dyDescent="0.3">
      <c r="A56" s="1" t="s">
        <v>208</v>
      </c>
      <c r="D56" s="67">
        <f>D54-D55</f>
        <v>14045.860355893106</v>
      </c>
      <c r="E56" s="67">
        <f t="shared" si="0"/>
        <v>42137.581067679319</v>
      </c>
      <c r="F56" s="68">
        <f t="shared" si="1"/>
        <v>9.6204522985569216</v>
      </c>
    </row>
    <row r="57" spans="1:6" ht="15.75" thickTop="1" x14ac:dyDescent="0.25">
      <c r="A57" t="s">
        <v>201</v>
      </c>
      <c r="D57" s="56">
        <f>D56/D40</f>
        <v>2.5849294420783264E-2</v>
      </c>
      <c r="E57" s="56">
        <f>E56/E40</f>
        <v>2.5849294420783264E-2</v>
      </c>
      <c r="F57" s="5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3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A800-09A0-4E14-BA19-948EC43E1233}">
  <dimension ref="A1:BK136"/>
  <sheetViews>
    <sheetView showGridLines="0" zoomScale="80" zoomScaleNormal="80" workbookViewId="0">
      <selection activeCell="AD12" sqref="AD12"/>
    </sheetView>
  </sheetViews>
  <sheetFormatPr defaultRowHeight="15" outlineLevelRow="1" outlineLevelCol="1" x14ac:dyDescent="0.25"/>
  <cols>
    <col min="1" max="1" width="12.5703125" style="19" customWidth="1"/>
    <col min="2" max="2" width="30.5703125" customWidth="1"/>
    <col min="3" max="3" width="8.5703125" customWidth="1"/>
    <col min="4" max="5" width="12.5703125" customWidth="1"/>
    <col min="6" max="7" width="8.5703125" customWidth="1"/>
    <col min="8" max="8" width="11.42578125" customWidth="1"/>
    <col min="9" max="20" width="2.5703125" hidden="1" customWidth="1" outlineLevel="1"/>
    <col min="21" max="21" width="2.5703125" customWidth="1" collapsed="1"/>
    <col min="22" max="57" width="2.5703125" customWidth="1"/>
    <col min="58" max="58" width="15.7109375" bestFit="1" customWidth="1"/>
    <col min="59" max="63" width="6.5703125" customWidth="1"/>
  </cols>
  <sheetData>
    <row r="1" spans="1:63" ht="15.75" x14ac:dyDescent="0.25">
      <c r="A1" s="19" t="s">
        <v>139</v>
      </c>
      <c r="B1" s="22" t="s">
        <v>140</v>
      </c>
      <c r="E1" t="s">
        <v>141</v>
      </c>
      <c r="G1" s="23" t="s">
        <v>142</v>
      </c>
      <c r="H1" s="24">
        <f>A11/52*H6+A$39/52*H34</f>
        <v>140</v>
      </c>
    </row>
    <row r="2" spans="1:63" ht="15.75" x14ac:dyDescent="0.25">
      <c r="G2" s="23" t="s">
        <v>143</v>
      </c>
      <c r="H2" s="25">
        <f>A11/52*H7+A$39/52*H35</f>
        <v>5.332846537665815</v>
      </c>
    </row>
    <row r="3" spans="1:63" ht="15.75" x14ac:dyDescent="0.25">
      <c r="G3" s="23" t="s">
        <v>144</v>
      </c>
      <c r="H3" s="26">
        <f>A11/52*H8</f>
        <v>9.9800775901414868E-2</v>
      </c>
    </row>
    <row r="6" spans="1:63" ht="15.75" x14ac:dyDescent="0.25">
      <c r="A6" s="19" t="s">
        <v>145</v>
      </c>
      <c r="B6" s="22" t="s">
        <v>146</v>
      </c>
      <c r="C6" s="27"/>
      <c r="G6" s="23" t="s">
        <v>142</v>
      </c>
      <c r="H6" s="28">
        <f>SUM(H10:H31)</f>
        <v>140</v>
      </c>
      <c r="BF6" s="23" t="s">
        <v>142</v>
      </c>
      <c r="BG6" s="29">
        <f>SUBTOTAL(9,BG11:BG31)</f>
        <v>10</v>
      </c>
      <c r="BH6" s="29">
        <f>SUBTOTAL(9,BH11:BH31)</f>
        <v>5</v>
      </c>
      <c r="BI6" s="29">
        <f>SUBTOTAL(9,BI11:BI31)</f>
        <v>11.5</v>
      </c>
      <c r="BJ6" s="29">
        <f>SUBTOTAL(9,BJ11:BJ31)</f>
        <v>1</v>
      </c>
      <c r="BK6" s="29">
        <f>SUBTOTAL(9,BK11:BK31)</f>
        <v>16.5</v>
      </c>
    </row>
    <row r="7" spans="1:63" ht="15.75" x14ac:dyDescent="0.25">
      <c r="A7" s="19" t="s">
        <v>147</v>
      </c>
      <c r="B7" s="30" t="s">
        <v>182</v>
      </c>
      <c r="C7" s="27"/>
      <c r="G7" s="23" t="s">
        <v>143</v>
      </c>
      <c r="H7" s="31">
        <f>H6/36/Norm_Effectief</f>
        <v>5.332846537665815</v>
      </c>
      <c r="BF7" s="10" t="s">
        <v>144</v>
      </c>
      <c r="BG7" s="20">
        <v>0.22</v>
      </c>
      <c r="BH7" s="20">
        <v>0.44</v>
      </c>
      <c r="BI7" s="20">
        <v>0.38</v>
      </c>
      <c r="BJ7" s="20">
        <v>0.49</v>
      </c>
      <c r="BK7" s="20">
        <v>0.6</v>
      </c>
    </row>
    <row r="8" spans="1:63" ht="15.75" x14ac:dyDescent="0.25">
      <c r="B8" s="27"/>
      <c r="C8" s="27"/>
      <c r="G8" s="23" t="s">
        <v>144</v>
      </c>
      <c r="H8" s="32">
        <f>SUM(BG8:BK8)/(H6/Norm_Effectief)</f>
        <v>9.9800775901414868E-2</v>
      </c>
      <c r="BF8" s="23" t="s">
        <v>148</v>
      </c>
      <c r="BG8" s="33">
        <f t="shared" ref="BG8:BK8" si="0">BG6*BG7</f>
        <v>2.2000000000000002</v>
      </c>
      <c r="BH8" s="33">
        <f t="shared" si="0"/>
        <v>2.2000000000000002</v>
      </c>
      <c r="BI8" s="33">
        <f t="shared" si="0"/>
        <v>4.37</v>
      </c>
      <c r="BJ8" s="33">
        <f t="shared" si="0"/>
        <v>0.49</v>
      </c>
      <c r="BK8" s="33">
        <f t="shared" si="0"/>
        <v>9.9</v>
      </c>
    </row>
    <row r="9" spans="1:63" ht="45" x14ac:dyDescent="0.25">
      <c r="A9" s="34" t="s">
        <v>149</v>
      </c>
      <c r="B9" s="35" t="s">
        <v>150</v>
      </c>
      <c r="C9" s="35" t="s">
        <v>151</v>
      </c>
      <c r="D9" s="34" t="s">
        <v>152</v>
      </c>
      <c r="E9" s="34" t="s">
        <v>153</v>
      </c>
      <c r="F9" s="35" t="s">
        <v>154</v>
      </c>
      <c r="G9" s="35" t="s">
        <v>155</v>
      </c>
      <c r="H9" s="35" t="s">
        <v>156</v>
      </c>
      <c r="I9" s="36">
        <v>0</v>
      </c>
      <c r="J9" s="36">
        <v>2.0833333333333332E-2</v>
      </c>
      <c r="K9" s="36">
        <v>4.1666666666666699E-2</v>
      </c>
      <c r="L9" s="36">
        <v>6.25E-2</v>
      </c>
      <c r="M9" s="36">
        <v>8.3333333333333301E-2</v>
      </c>
      <c r="N9" s="36">
        <v>0.104166666666667</v>
      </c>
      <c r="O9" s="36">
        <v>0.125</v>
      </c>
      <c r="P9" s="36">
        <v>0.14583333333333301</v>
      </c>
      <c r="Q9" s="36">
        <v>0.16666666666666699</v>
      </c>
      <c r="R9" s="36">
        <v>0.1875</v>
      </c>
      <c r="S9" s="36">
        <v>0.20833333333333301</v>
      </c>
      <c r="T9" s="36">
        <v>0.22916666666666699</v>
      </c>
      <c r="U9" s="36">
        <v>0.25</v>
      </c>
      <c r="V9" s="36">
        <v>0.27083333333333298</v>
      </c>
      <c r="W9" s="36">
        <v>0.29166666666666702</v>
      </c>
      <c r="X9" s="36">
        <v>0.3125</v>
      </c>
      <c r="Y9" s="36">
        <v>0.33333333333333298</v>
      </c>
      <c r="Z9" s="36">
        <v>0.35416666666666602</v>
      </c>
      <c r="AA9" s="36">
        <v>0.374999999999999</v>
      </c>
      <c r="AB9" s="36">
        <v>0.39583333333333198</v>
      </c>
      <c r="AC9" s="36">
        <v>0.41666666666666502</v>
      </c>
      <c r="AD9" s="36">
        <v>0.437499999999998</v>
      </c>
      <c r="AE9" s="36">
        <v>0.45833333333333098</v>
      </c>
      <c r="AF9" s="36">
        <v>0.47916666666666402</v>
      </c>
      <c r="AG9" s="36">
        <v>0.499999999999997</v>
      </c>
      <c r="AH9" s="36">
        <v>0.52083333333333004</v>
      </c>
      <c r="AI9" s="36">
        <v>0.54166666666666297</v>
      </c>
      <c r="AJ9" s="36">
        <v>0.562499999999996</v>
      </c>
      <c r="AK9" s="36">
        <v>0.58333333333332904</v>
      </c>
      <c r="AL9" s="36">
        <v>0.60416666666666197</v>
      </c>
      <c r="AM9" s="36">
        <v>0.624999999999995</v>
      </c>
      <c r="AN9" s="36">
        <v>0.64583333333332804</v>
      </c>
      <c r="AO9" s="36">
        <v>0.66666666666666097</v>
      </c>
      <c r="AP9" s="36">
        <v>0.687499999999994</v>
      </c>
      <c r="AQ9" s="36">
        <v>0.70833333333332704</v>
      </c>
      <c r="AR9" s="36">
        <v>0.72916666666665997</v>
      </c>
      <c r="AS9" s="36">
        <v>0.74999999999999301</v>
      </c>
      <c r="AT9" s="36">
        <v>0.77083333333332604</v>
      </c>
      <c r="AU9" s="36">
        <v>0.79166666666665897</v>
      </c>
      <c r="AV9" s="36">
        <v>0.81249999999999201</v>
      </c>
      <c r="AW9" s="36">
        <v>0.83333333333332504</v>
      </c>
      <c r="AX9" s="36">
        <v>0.85416666666665797</v>
      </c>
      <c r="AY9" s="36">
        <v>0.87499999999999001</v>
      </c>
      <c r="AZ9" s="36">
        <v>0.89583333333332305</v>
      </c>
      <c r="BA9" s="36">
        <v>0.91666666666665697</v>
      </c>
      <c r="BB9" s="36">
        <v>0.93749999999998901</v>
      </c>
      <c r="BC9" s="36">
        <v>0.95833333333332205</v>
      </c>
      <c r="BD9" s="36">
        <v>0.97916666666665497</v>
      </c>
      <c r="BE9" s="36">
        <v>0.99999999999998801</v>
      </c>
      <c r="BG9" s="37" t="s">
        <v>157</v>
      </c>
      <c r="BH9" s="37" t="s">
        <v>158</v>
      </c>
      <c r="BI9" s="37" t="s">
        <v>159</v>
      </c>
      <c r="BJ9" s="37" t="s">
        <v>160</v>
      </c>
      <c r="BK9" s="37" t="s">
        <v>161</v>
      </c>
    </row>
    <row r="10" spans="1:63" x14ac:dyDescent="0.25">
      <c r="D10" s="19"/>
      <c r="E10" s="19"/>
      <c r="F10" s="38"/>
      <c r="G10" s="38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G10" s="41"/>
      <c r="BH10" s="41"/>
      <c r="BI10" s="41"/>
      <c r="BJ10" s="41"/>
      <c r="BK10" s="41"/>
    </row>
    <row r="11" spans="1:63" x14ac:dyDescent="0.25">
      <c r="A11" s="42">
        <v>52</v>
      </c>
      <c r="B11" s="43" t="s">
        <v>162</v>
      </c>
      <c r="C11" s="43" t="s">
        <v>163</v>
      </c>
      <c r="D11" s="42" t="s">
        <v>164</v>
      </c>
      <c r="E11" s="42">
        <v>0</v>
      </c>
      <c r="F11" s="44">
        <v>0.39583333333333698</v>
      </c>
      <c r="G11" s="44">
        <v>0.72916666666668195</v>
      </c>
      <c r="H11" s="39">
        <f>IF(C11="werk",IF(G11&gt;F11,E11*((HOUR(G11)*60+MINUTE(G11))-(HOUR(F11)*60+MINUTE(F11)))/60,E11*(1440-(HOUR(F11)*60+MINUTE(F11))+(HOUR(G11)*60+MINUTE(G11)))/60),IF(G11&gt;F11,E11*((HOUR(G11)*60+MINUTE(G11))-(HOUR(F11)*60+MINUTE(F11)))/60,E11*(1440-(HOUR(F11)*60+MINUTE(F11))+(HOUR(G11)*60+MINUTE(G11)))/60)*50%)</f>
        <v>0</v>
      </c>
      <c r="I11" s="40">
        <f t="shared" ref="I11:X26" si="1">IF($G11="",0,IF(C11="werk",IF($G11&gt;$F11,IF(AND($F11&lt;J$9,$G11&gt;J$9),0.5,0),IF(OR($F11&lt;J$9,$G11&gt;J$9),0.5,0)),IF($G11&gt;$F11,IF(AND($F11&lt;J$9,$G11&gt;J$9),0.5,0),IF(OR($F11&lt;J$9,$G11&gt;=J$9),0.25,0))))</f>
        <v>0</v>
      </c>
      <c r="J11" s="40">
        <f t="shared" si="1"/>
        <v>0</v>
      </c>
      <c r="K11" s="40">
        <f t="shared" si="1"/>
        <v>0</v>
      </c>
      <c r="L11" s="40">
        <f>IF($G11="",0,IF(F11="werk",IF($G11&gt;$F11,IF(AND($F11&lt;M$9,$G11&gt;M$9),0.5,0),IF(OR($F11&lt;M$9,$G11&gt;M$9),0.5,0)),IF($G11&gt;$F11,IF(AND($F11&lt;M$9,$G11&gt;M$9),0.5,0),IF(OR($F11&lt;M$9,$G11&gt;=M$9),0.25,0))))</f>
        <v>0</v>
      </c>
      <c r="M11" s="40">
        <f t="shared" ref="M11:AB26" si="2">IF($G11="",0,IF(G11="werk",IF($G11&gt;$F11,IF(AND($F11&lt;N$9,$G11&gt;N$9),0.5,0),IF(OR($F11&lt;N$9,$G11&gt;N$9),0.5,0)),IF($G11&gt;$F11,IF(AND($F11&lt;N$9,$G11&gt;N$9),0.5,0),IF(OR($F11&lt;N$9,$G11&gt;=N$9),0.25,0))))</f>
        <v>0</v>
      </c>
      <c r="N11" s="40">
        <f t="shared" si="2"/>
        <v>0</v>
      </c>
      <c r="O11" s="40">
        <f t="shared" si="2"/>
        <v>0</v>
      </c>
      <c r="P11" s="40">
        <f t="shared" si="2"/>
        <v>0</v>
      </c>
      <c r="Q11" s="40">
        <f t="shared" si="2"/>
        <v>0</v>
      </c>
      <c r="R11" s="40">
        <f t="shared" si="2"/>
        <v>0</v>
      </c>
      <c r="S11" s="40">
        <f t="shared" si="2"/>
        <v>0</v>
      </c>
      <c r="T11" s="40">
        <f t="shared" si="2"/>
        <v>0</v>
      </c>
      <c r="U11" s="40">
        <f t="shared" si="2"/>
        <v>0</v>
      </c>
      <c r="V11" s="40">
        <f t="shared" si="2"/>
        <v>0</v>
      </c>
      <c r="W11" s="40">
        <f t="shared" si="2"/>
        <v>0</v>
      </c>
      <c r="X11" s="40">
        <f t="shared" si="2"/>
        <v>0</v>
      </c>
      <c r="Y11" s="40">
        <f t="shared" si="2"/>
        <v>0</v>
      </c>
      <c r="Z11" s="40">
        <f t="shared" si="2"/>
        <v>0</v>
      </c>
      <c r="AA11" s="40">
        <f t="shared" si="2"/>
        <v>0</v>
      </c>
      <c r="AB11" s="40">
        <f t="shared" si="2"/>
        <v>0.5</v>
      </c>
      <c r="AC11" s="40">
        <f t="shared" ref="AC11:AR26" si="3">IF($G11="",0,IF(W11="werk",IF($G11&gt;$F11,IF(AND($F11&lt;AD$9,$G11&gt;AD$9),0.5,0),IF(OR($F11&lt;AD$9,$G11&gt;AD$9),0.5,0)),IF($G11&gt;$F11,IF(AND($F11&lt;AD$9,$G11&gt;AD$9),0.5,0),IF(OR($F11&lt;AD$9,$G11&gt;=AD$9),0.25,0))))</f>
        <v>0.5</v>
      </c>
      <c r="AD11" s="40">
        <f t="shared" si="3"/>
        <v>0.5</v>
      </c>
      <c r="AE11" s="40">
        <f t="shared" si="3"/>
        <v>0.5</v>
      </c>
      <c r="AF11" s="40">
        <f t="shared" si="3"/>
        <v>0.5</v>
      </c>
      <c r="AG11" s="40">
        <f t="shared" si="3"/>
        <v>0.5</v>
      </c>
      <c r="AH11" s="40">
        <f t="shared" si="3"/>
        <v>0.5</v>
      </c>
      <c r="AI11" s="40">
        <f t="shared" si="3"/>
        <v>0.5</v>
      </c>
      <c r="AJ11" s="40">
        <f t="shared" si="3"/>
        <v>0.5</v>
      </c>
      <c r="AK11" s="40">
        <f t="shared" si="3"/>
        <v>0.5</v>
      </c>
      <c r="AL11" s="40">
        <f t="shared" si="3"/>
        <v>0.5</v>
      </c>
      <c r="AM11" s="40">
        <f t="shared" si="3"/>
        <v>0.5</v>
      </c>
      <c r="AN11" s="40">
        <f t="shared" si="3"/>
        <v>0.5</v>
      </c>
      <c r="AO11" s="40">
        <f t="shared" si="3"/>
        <v>0.5</v>
      </c>
      <c r="AP11" s="40">
        <f t="shared" si="3"/>
        <v>0.5</v>
      </c>
      <c r="AQ11" s="40">
        <f t="shared" si="3"/>
        <v>0.5</v>
      </c>
      <c r="AR11" s="40">
        <f t="shared" si="3"/>
        <v>0</v>
      </c>
      <c r="AS11" s="40">
        <f t="shared" ref="AO11:BD26" si="4">IF($G11="",0,IF(AM11="werk",IF($G11&gt;$F11,IF(AND($F11&lt;AT$9,$G11&gt;AT$9),0.5,0),IF(OR($F11&lt;AT$9,$G11&gt;AT$9),0.5,0)),IF($G11&gt;$F11,IF(AND($F11&lt;AT$9,$G11&gt;AT$9),0.5,0),IF(OR($F11&lt;AT$9,$G11&gt;=AT$9),0.25,0))))</f>
        <v>0</v>
      </c>
      <c r="AT11" s="40">
        <f t="shared" si="4"/>
        <v>0</v>
      </c>
      <c r="AU11" s="40">
        <f t="shared" si="4"/>
        <v>0</v>
      </c>
      <c r="AV11" s="40">
        <f t="shared" si="4"/>
        <v>0</v>
      </c>
      <c r="AW11" s="40">
        <f t="shared" si="4"/>
        <v>0</v>
      </c>
      <c r="AX11" s="40">
        <f t="shared" si="4"/>
        <v>0</v>
      </c>
      <c r="AY11" s="40">
        <f t="shared" si="4"/>
        <v>0</v>
      </c>
      <c r="AZ11" s="40">
        <f t="shared" si="4"/>
        <v>0</v>
      </c>
      <c r="BA11" s="40">
        <f t="shared" si="4"/>
        <v>0</v>
      </c>
      <c r="BB11" s="40">
        <f t="shared" si="4"/>
        <v>0</v>
      </c>
      <c r="BC11" s="40">
        <f t="shared" si="4"/>
        <v>0</v>
      </c>
      <c r="BD11" s="40">
        <f t="shared" si="4"/>
        <v>0</v>
      </c>
      <c r="BG11" s="41">
        <f t="shared" ref="BG11:BG31" si="5">IF(AND($C11="werk",$D11="weekdag"),SUM($U11:$V11,$AW11:$AZ11),0)*$E11</f>
        <v>0</v>
      </c>
      <c r="BH11" s="41">
        <f t="shared" ref="BH11:BH31" si="6">IF(AND($C11="werk",$D11="weekdag"),SUM($I11:$T11,$BA11:$BD11),0)*$E11</f>
        <v>0</v>
      </c>
      <c r="BI11" s="41">
        <f t="shared" ref="BI11:BI31" si="7">IF(AND($C11="werk",$D11="zaterdag"),SUM($U11:$X11,$AG11:$AZ11),0)*$E11</f>
        <v>0</v>
      </c>
      <c r="BJ11" s="41">
        <f t="shared" ref="BJ11:BJ31" si="8">IF(AND($C11="werk",$D11="zaterdag"),SUM($I11:$T11,$BA11:$BD11),0)*$E11</f>
        <v>0</v>
      </c>
      <c r="BK11" s="41">
        <f t="shared" ref="BK11:BK31" si="9">IF(AND($C11="werk",$D11="zondag"),SUM($I11:$BD11),0)*$E11</f>
        <v>0</v>
      </c>
    </row>
    <row r="12" spans="1:63" x14ac:dyDescent="0.25">
      <c r="A12" s="42">
        <f>A11</f>
        <v>52</v>
      </c>
      <c r="B12" s="43" t="s">
        <v>165</v>
      </c>
      <c r="C12" s="43" t="s">
        <v>163</v>
      </c>
      <c r="D12" s="42" t="s">
        <v>164</v>
      </c>
      <c r="E12" s="42">
        <v>5</v>
      </c>
      <c r="F12" s="44">
        <v>0.58333333333334403</v>
      </c>
      <c r="G12" s="44">
        <v>0.95833333333335602</v>
      </c>
      <c r="H12" s="39">
        <f t="shared" ref="H12:H30" si="10">IF(C12="werk",IF(G12&gt;F12,E12*((HOUR(G12)*60+MINUTE(G12))-(HOUR(F12)*60+MINUTE(F12)))/60,E12*(1440-(HOUR(F12)*60+MINUTE(F12))+(HOUR(G12)*60+MINUTE(G12)))/60),IF(G12&gt;F12,E12*((HOUR(G12)*60+MINUTE(G12))-(HOUR(F12)*60+MINUTE(F12)))/60,E12*(1440-(HOUR(F12)*60+MINUTE(F12))+(HOUR(G12)*60+MINUTE(G12)))/60)*50%)</f>
        <v>45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0</v>
      </c>
      <c r="R12" s="40">
        <f t="shared" si="2"/>
        <v>0</v>
      </c>
      <c r="S12" s="40">
        <f t="shared" si="2"/>
        <v>0</v>
      </c>
      <c r="T12" s="40">
        <f t="shared" si="2"/>
        <v>0</v>
      </c>
      <c r="U12" s="40">
        <f t="shared" si="2"/>
        <v>0</v>
      </c>
      <c r="V12" s="40">
        <f t="shared" si="2"/>
        <v>0</v>
      </c>
      <c r="W12" s="40">
        <f t="shared" si="2"/>
        <v>0</v>
      </c>
      <c r="X12" s="40">
        <f t="shared" si="2"/>
        <v>0</v>
      </c>
      <c r="Y12" s="40">
        <f t="shared" si="2"/>
        <v>0</v>
      </c>
      <c r="Z12" s="40">
        <f t="shared" si="2"/>
        <v>0</v>
      </c>
      <c r="AA12" s="40">
        <f t="shared" si="2"/>
        <v>0</v>
      </c>
      <c r="AB12" s="40">
        <f t="shared" si="2"/>
        <v>0</v>
      </c>
      <c r="AC12" s="40">
        <f t="shared" si="3"/>
        <v>0</v>
      </c>
      <c r="AD12" s="40">
        <f t="shared" si="3"/>
        <v>0</v>
      </c>
      <c r="AE12" s="40">
        <f t="shared" si="3"/>
        <v>0</v>
      </c>
      <c r="AF12" s="40">
        <f t="shared" si="3"/>
        <v>0</v>
      </c>
      <c r="AG12" s="40">
        <f t="shared" si="3"/>
        <v>0</v>
      </c>
      <c r="AH12" s="40">
        <f t="shared" si="3"/>
        <v>0</v>
      </c>
      <c r="AI12" s="40">
        <f t="shared" si="3"/>
        <v>0</v>
      </c>
      <c r="AJ12" s="40">
        <f t="shared" si="3"/>
        <v>0</v>
      </c>
      <c r="AK12" s="40">
        <f t="shared" si="3"/>
        <v>0.5</v>
      </c>
      <c r="AL12" s="40">
        <f t="shared" si="3"/>
        <v>0.5</v>
      </c>
      <c r="AM12" s="40">
        <f t="shared" si="3"/>
        <v>0.5</v>
      </c>
      <c r="AN12" s="40">
        <f t="shared" si="3"/>
        <v>0.5</v>
      </c>
      <c r="AO12" s="40">
        <f t="shared" si="3"/>
        <v>0.5</v>
      </c>
      <c r="AP12" s="40">
        <f t="shared" si="3"/>
        <v>0.5</v>
      </c>
      <c r="AQ12" s="40">
        <f t="shared" si="3"/>
        <v>0.5</v>
      </c>
      <c r="AR12" s="40">
        <f t="shared" si="3"/>
        <v>0.5</v>
      </c>
      <c r="AS12" s="40">
        <f t="shared" si="4"/>
        <v>0.5</v>
      </c>
      <c r="AT12" s="40">
        <f t="shared" si="4"/>
        <v>0.5</v>
      </c>
      <c r="AU12" s="40">
        <f t="shared" si="4"/>
        <v>0.5</v>
      </c>
      <c r="AV12" s="40">
        <f t="shared" si="4"/>
        <v>0.5</v>
      </c>
      <c r="AW12" s="40">
        <f t="shared" si="4"/>
        <v>0.5</v>
      </c>
      <c r="AX12" s="40">
        <f t="shared" si="4"/>
        <v>0.5</v>
      </c>
      <c r="AY12" s="40">
        <f t="shared" si="4"/>
        <v>0.5</v>
      </c>
      <c r="AZ12" s="40">
        <f t="shared" si="4"/>
        <v>0.5</v>
      </c>
      <c r="BA12" s="40">
        <f t="shared" si="4"/>
        <v>0.5</v>
      </c>
      <c r="BB12" s="40">
        <f t="shared" si="4"/>
        <v>0.5</v>
      </c>
      <c r="BC12" s="40">
        <f t="shared" si="4"/>
        <v>0</v>
      </c>
      <c r="BD12" s="40">
        <f t="shared" si="4"/>
        <v>0</v>
      </c>
      <c r="BG12" s="41">
        <f t="shared" si="5"/>
        <v>10</v>
      </c>
      <c r="BH12" s="41">
        <f t="shared" si="6"/>
        <v>5</v>
      </c>
      <c r="BI12" s="41">
        <f t="shared" si="7"/>
        <v>0</v>
      </c>
      <c r="BJ12" s="41">
        <f t="shared" si="8"/>
        <v>0</v>
      </c>
      <c r="BK12" s="41">
        <f t="shared" si="9"/>
        <v>0</v>
      </c>
    </row>
    <row r="13" spans="1:63" x14ac:dyDescent="0.25">
      <c r="A13" s="42">
        <f t="shared" ref="A13:A15" si="11">A12</f>
        <v>52</v>
      </c>
      <c r="B13" s="43" t="s">
        <v>166</v>
      </c>
      <c r="C13" s="43" t="s">
        <v>163</v>
      </c>
      <c r="D13" s="42" t="s">
        <v>164</v>
      </c>
      <c r="E13" s="42">
        <v>0</v>
      </c>
      <c r="F13" s="44">
        <v>0.62500000000001199</v>
      </c>
      <c r="G13" s="44">
        <v>0.95833333333335602</v>
      </c>
      <c r="H13" s="39">
        <f t="shared" si="10"/>
        <v>0</v>
      </c>
      <c r="I13" s="40">
        <f t="shared" si="1"/>
        <v>0</v>
      </c>
      <c r="J13" s="40">
        <f t="shared" si="1"/>
        <v>0</v>
      </c>
      <c r="K13" s="40">
        <f t="shared" si="1"/>
        <v>0</v>
      </c>
      <c r="L13" s="40">
        <f t="shared" si="1"/>
        <v>0</v>
      </c>
      <c r="M13" s="40">
        <f t="shared" si="2"/>
        <v>0</v>
      </c>
      <c r="N13" s="40">
        <f t="shared" si="2"/>
        <v>0</v>
      </c>
      <c r="O13" s="40">
        <f t="shared" si="2"/>
        <v>0</v>
      </c>
      <c r="P13" s="40">
        <f t="shared" si="2"/>
        <v>0</v>
      </c>
      <c r="Q13" s="40">
        <f t="shared" si="2"/>
        <v>0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0">
        <f t="shared" si="2"/>
        <v>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0</v>
      </c>
      <c r="AA13" s="40">
        <f t="shared" si="2"/>
        <v>0</v>
      </c>
      <c r="AB13" s="40">
        <f t="shared" si="2"/>
        <v>0</v>
      </c>
      <c r="AC13" s="40">
        <f t="shared" si="3"/>
        <v>0</v>
      </c>
      <c r="AD13" s="40">
        <f t="shared" si="3"/>
        <v>0</v>
      </c>
      <c r="AE13" s="40">
        <f t="shared" si="3"/>
        <v>0</v>
      </c>
      <c r="AF13" s="40">
        <f t="shared" si="3"/>
        <v>0</v>
      </c>
      <c r="AG13" s="40">
        <f t="shared" si="3"/>
        <v>0</v>
      </c>
      <c r="AH13" s="40">
        <f t="shared" si="3"/>
        <v>0</v>
      </c>
      <c r="AI13" s="40">
        <f t="shared" si="3"/>
        <v>0</v>
      </c>
      <c r="AJ13" s="40">
        <f t="shared" si="3"/>
        <v>0</v>
      </c>
      <c r="AK13" s="40">
        <f t="shared" si="3"/>
        <v>0</v>
      </c>
      <c r="AL13" s="40">
        <f t="shared" si="3"/>
        <v>0</v>
      </c>
      <c r="AM13" s="40">
        <f t="shared" si="3"/>
        <v>0.5</v>
      </c>
      <c r="AN13" s="40">
        <f t="shared" si="3"/>
        <v>0.5</v>
      </c>
      <c r="AO13" s="40">
        <f t="shared" si="3"/>
        <v>0.5</v>
      </c>
      <c r="AP13" s="40">
        <f t="shared" si="3"/>
        <v>0.5</v>
      </c>
      <c r="AQ13" s="40">
        <f t="shared" si="3"/>
        <v>0.5</v>
      </c>
      <c r="AR13" s="40">
        <f t="shared" si="3"/>
        <v>0.5</v>
      </c>
      <c r="AS13" s="40">
        <f t="shared" si="4"/>
        <v>0.5</v>
      </c>
      <c r="AT13" s="40">
        <f t="shared" si="4"/>
        <v>0.5</v>
      </c>
      <c r="AU13" s="40">
        <f t="shared" si="4"/>
        <v>0.5</v>
      </c>
      <c r="AV13" s="40">
        <f t="shared" si="4"/>
        <v>0.5</v>
      </c>
      <c r="AW13" s="40">
        <f t="shared" si="4"/>
        <v>0.5</v>
      </c>
      <c r="AX13" s="40">
        <f t="shared" si="4"/>
        <v>0.5</v>
      </c>
      <c r="AY13" s="40">
        <f t="shared" si="4"/>
        <v>0.5</v>
      </c>
      <c r="AZ13" s="40">
        <f t="shared" si="4"/>
        <v>0.5</v>
      </c>
      <c r="BA13" s="40">
        <f t="shared" si="4"/>
        <v>0.5</v>
      </c>
      <c r="BB13" s="40">
        <f t="shared" si="4"/>
        <v>0.5</v>
      </c>
      <c r="BC13" s="40">
        <f t="shared" si="4"/>
        <v>0</v>
      </c>
      <c r="BD13" s="40">
        <f t="shared" si="4"/>
        <v>0</v>
      </c>
      <c r="BG13" s="41">
        <f t="shared" si="5"/>
        <v>0</v>
      </c>
      <c r="BH13" s="41">
        <f t="shared" si="6"/>
        <v>0</v>
      </c>
      <c r="BI13" s="41">
        <f t="shared" si="7"/>
        <v>0</v>
      </c>
      <c r="BJ13" s="41">
        <f t="shared" si="8"/>
        <v>0</v>
      </c>
      <c r="BK13" s="41">
        <f t="shared" si="9"/>
        <v>0</v>
      </c>
    </row>
    <row r="14" spans="1:63" x14ac:dyDescent="0.25">
      <c r="A14" s="42">
        <f t="shared" si="11"/>
        <v>52</v>
      </c>
      <c r="B14" s="43" t="s">
        <v>166</v>
      </c>
      <c r="C14" s="43" t="s">
        <v>167</v>
      </c>
      <c r="D14" s="42" t="s">
        <v>164</v>
      </c>
      <c r="E14" s="42">
        <v>5</v>
      </c>
      <c r="F14" s="44">
        <v>0.95833333333335602</v>
      </c>
      <c r="G14" s="44">
        <v>0.29166666666666702</v>
      </c>
      <c r="H14" s="39">
        <f t="shared" si="10"/>
        <v>20</v>
      </c>
      <c r="I14" s="40">
        <f t="shared" si="1"/>
        <v>0.25</v>
      </c>
      <c r="J14" s="40">
        <f t="shared" si="1"/>
        <v>0.25</v>
      </c>
      <c r="K14" s="40">
        <f t="shared" si="1"/>
        <v>0.25</v>
      </c>
      <c r="L14" s="40">
        <f t="shared" si="1"/>
        <v>0.25</v>
      </c>
      <c r="M14" s="40">
        <f t="shared" si="2"/>
        <v>0.25</v>
      </c>
      <c r="N14" s="40">
        <f t="shared" si="2"/>
        <v>0.25</v>
      </c>
      <c r="O14" s="40">
        <f t="shared" si="2"/>
        <v>0.25</v>
      </c>
      <c r="P14" s="40">
        <f t="shared" si="2"/>
        <v>0.25</v>
      </c>
      <c r="Q14" s="40">
        <f t="shared" si="2"/>
        <v>0.25</v>
      </c>
      <c r="R14" s="40">
        <f t="shared" si="2"/>
        <v>0.25</v>
      </c>
      <c r="S14" s="40">
        <f t="shared" si="2"/>
        <v>0.25</v>
      </c>
      <c r="T14" s="40">
        <f t="shared" si="2"/>
        <v>0.25</v>
      </c>
      <c r="U14" s="40">
        <f t="shared" si="2"/>
        <v>0.25</v>
      </c>
      <c r="V14" s="40">
        <f>IF($G14="",0,IF(P14="werk",IF($G14&gt;$F14,IF(AND($F14&lt;W$9,$G14&gt;W$9),0.5,0),IF(OR($F14&lt;W$9,$G14&gt;W$9),0.5,0)),IF($G14&gt;$F14,IF(AND($F14&lt;W$9,$G14&gt;W$9),0.5,0),IF(OR($F14&lt;W$9,$G14&gt;=W$9),0.25,0))))</f>
        <v>0.25</v>
      </c>
      <c r="W14" s="40">
        <f t="shared" si="2"/>
        <v>0</v>
      </c>
      <c r="X14" s="40">
        <f t="shared" si="2"/>
        <v>0</v>
      </c>
      <c r="Y14" s="40">
        <f t="shared" si="2"/>
        <v>0</v>
      </c>
      <c r="Z14" s="40">
        <f t="shared" si="2"/>
        <v>0</v>
      </c>
      <c r="AA14" s="40">
        <f t="shared" si="2"/>
        <v>0</v>
      </c>
      <c r="AB14" s="40">
        <f t="shared" si="2"/>
        <v>0</v>
      </c>
      <c r="AC14" s="40">
        <f t="shared" si="3"/>
        <v>0</v>
      </c>
      <c r="AD14" s="40">
        <f t="shared" si="3"/>
        <v>0</v>
      </c>
      <c r="AE14" s="40">
        <f t="shared" si="3"/>
        <v>0</v>
      </c>
      <c r="AF14" s="40">
        <f t="shared" si="3"/>
        <v>0</v>
      </c>
      <c r="AG14" s="40">
        <f t="shared" si="3"/>
        <v>0</v>
      </c>
      <c r="AH14" s="40">
        <f t="shared" si="3"/>
        <v>0</v>
      </c>
      <c r="AI14" s="40">
        <f t="shared" si="3"/>
        <v>0</v>
      </c>
      <c r="AJ14" s="40">
        <f t="shared" si="3"/>
        <v>0</v>
      </c>
      <c r="AK14" s="40">
        <f t="shared" si="3"/>
        <v>0</v>
      </c>
      <c r="AL14" s="40">
        <f t="shared" si="3"/>
        <v>0</v>
      </c>
      <c r="AM14" s="40">
        <f t="shared" si="3"/>
        <v>0</v>
      </c>
      <c r="AN14" s="40">
        <f t="shared" si="3"/>
        <v>0</v>
      </c>
      <c r="AO14" s="40">
        <f t="shared" si="3"/>
        <v>0</v>
      </c>
      <c r="AP14" s="40">
        <f t="shared" si="3"/>
        <v>0</v>
      </c>
      <c r="AQ14" s="40">
        <f t="shared" si="3"/>
        <v>0</v>
      </c>
      <c r="AR14" s="40">
        <f t="shared" si="3"/>
        <v>0</v>
      </c>
      <c r="AS14" s="40">
        <f t="shared" si="4"/>
        <v>0</v>
      </c>
      <c r="AT14" s="40">
        <f t="shared" si="4"/>
        <v>0</v>
      </c>
      <c r="AU14" s="40">
        <f t="shared" si="4"/>
        <v>0</v>
      </c>
      <c r="AV14" s="40">
        <f t="shared" si="4"/>
        <v>0</v>
      </c>
      <c r="AW14" s="40">
        <f t="shared" si="4"/>
        <v>0</v>
      </c>
      <c r="AX14" s="40">
        <f t="shared" si="4"/>
        <v>0</v>
      </c>
      <c r="AY14" s="40">
        <f t="shared" si="4"/>
        <v>0</v>
      </c>
      <c r="AZ14" s="40">
        <f t="shared" si="4"/>
        <v>0</v>
      </c>
      <c r="BA14" s="40">
        <f t="shared" si="4"/>
        <v>0</v>
      </c>
      <c r="BB14" s="40">
        <f t="shared" si="4"/>
        <v>0</v>
      </c>
      <c r="BC14" s="40">
        <f t="shared" si="4"/>
        <v>0.25</v>
      </c>
      <c r="BD14" s="40">
        <f t="shared" si="4"/>
        <v>0.25</v>
      </c>
      <c r="BG14" s="41">
        <f t="shared" si="5"/>
        <v>0</v>
      </c>
      <c r="BH14" s="41">
        <f t="shared" si="6"/>
        <v>0</v>
      </c>
      <c r="BI14" s="41">
        <f t="shared" si="7"/>
        <v>0</v>
      </c>
      <c r="BJ14" s="41">
        <f t="shared" si="8"/>
        <v>0</v>
      </c>
      <c r="BK14" s="41">
        <f t="shared" si="9"/>
        <v>0</v>
      </c>
    </row>
    <row r="15" spans="1:63" x14ac:dyDescent="0.25">
      <c r="A15" s="42">
        <f t="shared" si="11"/>
        <v>52</v>
      </c>
      <c r="B15" s="43" t="s">
        <v>168</v>
      </c>
      <c r="C15" s="43" t="s">
        <v>163</v>
      </c>
      <c r="D15" s="42" t="s">
        <v>164</v>
      </c>
      <c r="E15" s="42">
        <v>5</v>
      </c>
      <c r="F15" s="44">
        <v>0.29166666666666702</v>
      </c>
      <c r="G15" s="44">
        <v>0.41666666666667102</v>
      </c>
      <c r="H15" s="39">
        <f t="shared" si="10"/>
        <v>15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0">
        <f t="shared" si="2"/>
        <v>0</v>
      </c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 t="shared" si="2"/>
        <v>0</v>
      </c>
      <c r="U15" s="40">
        <f t="shared" si="2"/>
        <v>0</v>
      </c>
      <c r="V15" s="40">
        <f t="shared" si="2"/>
        <v>0</v>
      </c>
      <c r="W15" s="40">
        <f t="shared" si="2"/>
        <v>0.5</v>
      </c>
      <c r="X15" s="40">
        <f t="shared" si="2"/>
        <v>0.5</v>
      </c>
      <c r="Y15" s="40">
        <f t="shared" si="2"/>
        <v>0.5</v>
      </c>
      <c r="Z15" s="40">
        <f t="shared" si="2"/>
        <v>0.5</v>
      </c>
      <c r="AA15" s="40">
        <f t="shared" si="2"/>
        <v>0.5</v>
      </c>
      <c r="AB15" s="40">
        <f t="shared" si="2"/>
        <v>0.5</v>
      </c>
      <c r="AC15" s="40">
        <f t="shared" si="3"/>
        <v>0</v>
      </c>
      <c r="AD15" s="40">
        <f t="shared" si="3"/>
        <v>0</v>
      </c>
      <c r="AE15" s="40">
        <f t="shared" si="3"/>
        <v>0</v>
      </c>
      <c r="AF15" s="40">
        <f t="shared" si="3"/>
        <v>0</v>
      </c>
      <c r="AG15" s="40">
        <f t="shared" si="3"/>
        <v>0</v>
      </c>
      <c r="AH15" s="40">
        <f t="shared" si="3"/>
        <v>0</v>
      </c>
      <c r="AI15" s="40">
        <f t="shared" si="3"/>
        <v>0</v>
      </c>
      <c r="AJ15" s="40">
        <f t="shared" si="3"/>
        <v>0</v>
      </c>
      <c r="AK15" s="40">
        <f t="shared" si="3"/>
        <v>0</v>
      </c>
      <c r="AL15" s="40">
        <f t="shared" si="3"/>
        <v>0</v>
      </c>
      <c r="AM15" s="40">
        <f t="shared" si="3"/>
        <v>0</v>
      </c>
      <c r="AN15" s="40">
        <f t="shared" si="3"/>
        <v>0</v>
      </c>
      <c r="AO15" s="40">
        <f t="shared" si="3"/>
        <v>0</v>
      </c>
      <c r="AP15" s="40">
        <f t="shared" si="3"/>
        <v>0</v>
      </c>
      <c r="AQ15" s="40">
        <f t="shared" si="3"/>
        <v>0</v>
      </c>
      <c r="AR15" s="40">
        <f t="shared" si="3"/>
        <v>0</v>
      </c>
      <c r="AS15" s="40">
        <f t="shared" si="4"/>
        <v>0</v>
      </c>
      <c r="AT15" s="40">
        <f t="shared" si="4"/>
        <v>0</v>
      </c>
      <c r="AU15" s="40">
        <f t="shared" si="4"/>
        <v>0</v>
      </c>
      <c r="AV15" s="40">
        <f t="shared" si="4"/>
        <v>0</v>
      </c>
      <c r="AW15" s="40">
        <f t="shared" si="4"/>
        <v>0</v>
      </c>
      <c r="AX15" s="40">
        <f t="shared" si="4"/>
        <v>0</v>
      </c>
      <c r="AY15" s="40">
        <f t="shared" si="4"/>
        <v>0</v>
      </c>
      <c r="AZ15" s="40">
        <f t="shared" si="4"/>
        <v>0</v>
      </c>
      <c r="BA15" s="40">
        <f t="shared" si="4"/>
        <v>0</v>
      </c>
      <c r="BB15" s="40">
        <f t="shared" si="4"/>
        <v>0</v>
      </c>
      <c r="BC15" s="40">
        <f t="shared" si="4"/>
        <v>0</v>
      </c>
      <c r="BD15" s="40">
        <f t="shared" si="4"/>
        <v>0</v>
      </c>
      <c r="BG15" s="41">
        <f t="shared" si="5"/>
        <v>0</v>
      </c>
      <c r="BH15" s="41">
        <f t="shared" si="6"/>
        <v>0</v>
      </c>
      <c r="BI15" s="41">
        <f t="shared" si="7"/>
        <v>0</v>
      </c>
      <c r="BJ15" s="41">
        <f t="shared" si="8"/>
        <v>0</v>
      </c>
      <c r="BK15" s="41">
        <f t="shared" si="9"/>
        <v>0</v>
      </c>
    </row>
    <row r="16" spans="1:63" x14ac:dyDescent="0.25">
      <c r="A16" s="42"/>
      <c r="B16" s="43"/>
      <c r="C16" s="43"/>
      <c r="D16" s="42"/>
      <c r="E16" s="42"/>
      <c r="F16" s="44"/>
      <c r="G16" s="44"/>
      <c r="H16" s="39">
        <f t="shared" si="10"/>
        <v>0</v>
      </c>
      <c r="I16" s="40">
        <f t="shared" si="1"/>
        <v>0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  <c r="N16" s="40">
        <f t="shared" si="1"/>
        <v>0</v>
      </c>
      <c r="O16" s="40">
        <f t="shared" si="1"/>
        <v>0</v>
      </c>
      <c r="P16" s="40">
        <f t="shared" si="1"/>
        <v>0</v>
      </c>
      <c r="Q16" s="40">
        <f t="shared" si="1"/>
        <v>0</v>
      </c>
      <c r="R16" s="40">
        <f t="shared" si="1"/>
        <v>0</v>
      </c>
      <c r="S16" s="40">
        <f t="shared" si="1"/>
        <v>0</v>
      </c>
      <c r="T16" s="40">
        <f t="shared" si="1"/>
        <v>0</v>
      </c>
      <c r="U16" s="40">
        <f t="shared" si="1"/>
        <v>0</v>
      </c>
      <c r="V16" s="40">
        <f t="shared" si="1"/>
        <v>0</v>
      </c>
      <c r="W16" s="40">
        <f t="shared" si="1"/>
        <v>0</v>
      </c>
      <c r="X16" s="40">
        <f t="shared" si="1"/>
        <v>0</v>
      </c>
      <c r="Y16" s="40">
        <f t="shared" si="2"/>
        <v>0</v>
      </c>
      <c r="Z16" s="40">
        <f t="shared" si="2"/>
        <v>0</v>
      </c>
      <c r="AA16" s="40">
        <f t="shared" si="2"/>
        <v>0</v>
      </c>
      <c r="AB16" s="40">
        <f t="shared" si="2"/>
        <v>0</v>
      </c>
      <c r="AC16" s="40">
        <f t="shared" si="3"/>
        <v>0</v>
      </c>
      <c r="AD16" s="40">
        <f t="shared" si="3"/>
        <v>0</v>
      </c>
      <c r="AE16" s="40">
        <f t="shared" si="3"/>
        <v>0</v>
      </c>
      <c r="AF16" s="40">
        <f t="shared" si="3"/>
        <v>0</v>
      </c>
      <c r="AG16" s="40">
        <f t="shared" si="3"/>
        <v>0</v>
      </c>
      <c r="AH16" s="40">
        <f t="shared" si="3"/>
        <v>0</v>
      </c>
      <c r="AI16" s="40">
        <f t="shared" si="3"/>
        <v>0</v>
      </c>
      <c r="AJ16" s="40">
        <f t="shared" si="3"/>
        <v>0</v>
      </c>
      <c r="AK16" s="40">
        <f t="shared" si="3"/>
        <v>0</v>
      </c>
      <c r="AL16" s="40">
        <f t="shared" si="3"/>
        <v>0</v>
      </c>
      <c r="AM16" s="40">
        <f t="shared" si="3"/>
        <v>0</v>
      </c>
      <c r="AN16" s="40">
        <f t="shared" si="3"/>
        <v>0</v>
      </c>
      <c r="AO16" s="40">
        <f t="shared" si="3"/>
        <v>0</v>
      </c>
      <c r="AP16" s="40">
        <f t="shared" si="3"/>
        <v>0</v>
      </c>
      <c r="AQ16" s="40">
        <f t="shared" si="3"/>
        <v>0</v>
      </c>
      <c r="AR16" s="40">
        <f t="shared" si="3"/>
        <v>0</v>
      </c>
      <c r="AS16" s="40">
        <f t="shared" si="4"/>
        <v>0</v>
      </c>
      <c r="AT16" s="40">
        <f t="shared" si="4"/>
        <v>0</v>
      </c>
      <c r="AU16" s="40">
        <f t="shared" si="4"/>
        <v>0</v>
      </c>
      <c r="AV16" s="40">
        <f t="shared" si="4"/>
        <v>0</v>
      </c>
      <c r="AW16" s="40">
        <f t="shared" si="4"/>
        <v>0</v>
      </c>
      <c r="AX16" s="40">
        <f t="shared" si="4"/>
        <v>0</v>
      </c>
      <c r="AY16" s="40">
        <f t="shared" si="4"/>
        <v>0</v>
      </c>
      <c r="AZ16" s="40">
        <f t="shared" si="4"/>
        <v>0</v>
      </c>
      <c r="BA16" s="40">
        <f t="shared" si="4"/>
        <v>0</v>
      </c>
      <c r="BB16" s="40">
        <f t="shared" si="4"/>
        <v>0</v>
      </c>
      <c r="BC16" s="40">
        <f t="shared" si="4"/>
        <v>0</v>
      </c>
      <c r="BD16" s="40">
        <f t="shared" si="4"/>
        <v>0</v>
      </c>
      <c r="BG16" s="41">
        <f t="shared" si="5"/>
        <v>0</v>
      </c>
      <c r="BH16" s="41">
        <f t="shared" si="6"/>
        <v>0</v>
      </c>
      <c r="BI16" s="41">
        <f t="shared" si="7"/>
        <v>0</v>
      </c>
      <c r="BJ16" s="41">
        <f t="shared" si="8"/>
        <v>0</v>
      </c>
      <c r="BK16" s="41">
        <f t="shared" si="9"/>
        <v>0</v>
      </c>
    </row>
    <row r="17" spans="1:63" x14ac:dyDescent="0.25">
      <c r="A17" s="42">
        <v>52</v>
      </c>
      <c r="B17" s="43" t="s">
        <v>169</v>
      </c>
      <c r="C17" s="43" t="s">
        <v>163</v>
      </c>
      <c r="D17" s="42" t="s">
        <v>170</v>
      </c>
      <c r="E17" s="42">
        <v>0</v>
      </c>
      <c r="F17" s="44">
        <v>0.39583333333333698</v>
      </c>
      <c r="G17" s="44">
        <v>0.72916666666668195</v>
      </c>
      <c r="H17" s="39">
        <f>IF(C17="werk",IF(G17&gt;F17,E17*((HOUR(G17)*60+MINUTE(G17))-(HOUR(F17)*60+MINUTE(F17)))/60,E17*(1440-(HOUR(F17)*60+MINUTE(F17))+(HOUR(G17)*60+MINUTE(G17)))/60),IF(G17&gt;F17,E17*((HOUR(G17)*60+MINUTE(G17))-(HOUR(F17)*60+MINUTE(F17)))/60,E17*(1440-(HOUR(F17)*60+MINUTE(F17))+(HOUR(G17)*60+MINUTE(G17)))/60)*50%)</f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  <c r="N17" s="40">
        <f t="shared" si="1"/>
        <v>0</v>
      </c>
      <c r="O17" s="40">
        <f t="shared" si="1"/>
        <v>0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0</v>
      </c>
      <c r="U17" s="40">
        <f t="shared" si="1"/>
        <v>0</v>
      </c>
      <c r="V17" s="40">
        <f t="shared" si="1"/>
        <v>0</v>
      </c>
      <c r="W17" s="40">
        <f t="shared" si="1"/>
        <v>0</v>
      </c>
      <c r="X17" s="40">
        <f t="shared" si="1"/>
        <v>0</v>
      </c>
      <c r="Y17" s="40">
        <f t="shared" si="2"/>
        <v>0</v>
      </c>
      <c r="Z17" s="40">
        <f t="shared" si="2"/>
        <v>0</v>
      </c>
      <c r="AA17" s="40">
        <f t="shared" si="2"/>
        <v>0</v>
      </c>
      <c r="AB17" s="40">
        <f t="shared" si="2"/>
        <v>0.5</v>
      </c>
      <c r="AC17" s="40">
        <f t="shared" si="3"/>
        <v>0.5</v>
      </c>
      <c r="AD17" s="40">
        <f t="shared" si="3"/>
        <v>0.5</v>
      </c>
      <c r="AE17" s="40">
        <f t="shared" si="3"/>
        <v>0.5</v>
      </c>
      <c r="AF17" s="40">
        <f t="shared" si="3"/>
        <v>0.5</v>
      </c>
      <c r="AG17" s="40">
        <f t="shared" si="3"/>
        <v>0.5</v>
      </c>
      <c r="AH17" s="40">
        <f t="shared" si="3"/>
        <v>0.5</v>
      </c>
      <c r="AI17" s="40">
        <f t="shared" si="3"/>
        <v>0.5</v>
      </c>
      <c r="AJ17" s="40">
        <f t="shared" si="3"/>
        <v>0.5</v>
      </c>
      <c r="AK17" s="40">
        <f t="shared" si="3"/>
        <v>0.5</v>
      </c>
      <c r="AL17" s="40">
        <f t="shared" si="3"/>
        <v>0.5</v>
      </c>
      <c r="AM17" s="40">
        <f t="shared" si="3"/>
        <v>0.5</v>
      </c>
      <c r="AN17" s="40">
        <f t="shared" si="3"/>
        <v>0.5</v>
      </c>
      <c r="AO17" s="40">
        <f t="shared" si="4"/>
        <v>0.5</v>
      </c>
      <c r="AP17" s="40">
        <f t="shared" si="4"/>
        <v>0.5</v>
      </c>
      <c r="AQ17" s="40">
        <f t="shared" si="4"/>
        <v>0.5</v>
      </c>
      <c r="AR17" s="40">
        <f t="shared" si="4"/>
        <v>0</v>
      </c>
      <c r="AS17" s="40">
        <f t="shared" si="4"/>
        <v>0</v>
      </c>
      <c r="AT17" s="40">
        <f t="shared" si="4"/>
        <v>0</v>
      </c>
      <c r="AU17" s="40">
        <f t="shared" si="4"/>
        <v>0</v>
      </c>
      <c r="AV17" s="40">
        <f t="shared" si="4"/>
        <v>0</v>
      </c>
      <c r="AW17" s="40">
        <f t="shared" si="4"/>
        <v>0</v>
      </c>
      <c r="AX17" s="40">
        <f t="shared" si="4"/>
        <v>0</v>
      </c>
      <c r="AY17" s="40">
        <f t="shared" si="4"/>
        <v>0</v>
      </c>
      <c r="AZ17" s="40">
        <f t="shared" si="4"/>
        <v>0</v>
      </c>
      <c r="BA17" s="40">
        <f t="shared" si="4"/>
        <v>0</v>
      </c>
      <c r="BB17" s="40">
        <f t="shared" si="4"/>
        <v>0</v>
      </c>
      <c r="BC17" s="40">
        <f t="shared" si="4"/>
        <v>0</v>
      </c>
      <c r="BD17" s="40">
        <f t="shared" si="4"/>
        <v>0</v>
      </c>
      <c r="BG17" s="41">
        <f t="shared" si="5"/>
        <v>0</v>
      </c>
      <c r="BH17" s="41">
        <f t="shared" si="6"/>
        <v>0</v>
      </c>
      <c r="BI17" s="41">
        <f t="shared" si="7"/>
        <v>0</v>
      </c>
      <c r="BJ17" s="41">
        <f t="shared" si="8"/>
        <v>0</v>
      </c>
      <c r="BK17" s="41">
        <f t="shared" si="9"/>
        <v>0</v>
      </c>
    </row>
    <row r="18" spans="1:63" x14ac:dyDescent="0.25">
      <c r="A18" s="42">
        <f>A17</f>
        <v>52</v>
      </c>
      <c r="B18" s="43" t="s">
        <v>171</v>
      </c>
      <c r="C18" s="43" t="s">
        <v>163</v>
      </c>
      <c r="D18" s="42" t="s">
        <v>170</v>
      </c>
      <c r="E18" s="42">
        <v>0</v>
      </c>
      <c r="F18" s="44">
        <v>0.54166666666667496</v>
      </c>
      <c r="G18" s="44">
        <v>0.91666666666668795</v>
      </c>
      <c r="H18" s="39">
        <f t="shared" si="10"/>
        <v>0</v>
      </c>
      <c r="I18" s="40">
        <f t="shared" si="1"/>
        <v>0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  <c r="N18" s="40">
        <f t="shared" si="1"/>
        <v>0</v>
      </c>
      <c r="O18" s="40">
        <f t="shared" si="1"/>
        <v>0</v>
      </c>
      <c r="P18" s="40">
        <f t="shared" si="1"/>
        <v>0</v>
      </c>
      <c r="Q18" s="40">
        <f t="shared" si="1"/>
        <v>0</v>
      </c>
      <c r="R18" s="40">
        <f t="shared" si="1"/>
        <v>0</v>
      </c>
      <c r="S18" s="40">
        <f t="shared" si="1"/>
        <v>0</v>
      </c>
      <c r="T18" s="40">
        <f t="shared" si="1"/>
        <v>0</v>
      </c>
      <c r="U18" s="40">
        <f t="shared" si="1"/>
        <v>0</v>
      </c>
      <c r="V18" s="40">
        <f t="shared" si="1"/>
        <v>0</v>
      </c>
      <c r="W18" s="40">
        <f t="shared" si="1"/>
        <v>0</v>
      </c>
      <c r="X18" s="40">
        <f t="shared" si="1"/>
        <v>0</v>
      </c>
      <c r="Y18" s="40">
        <f t="shared" si="2"/>
        <v>0</v>
      </c>
      <c r="Z18" s="40">
        <f t="shared" si="2"/>
        <v>0</v>
      </c>
      <c r="AA18" s="40">
        <f t="shared" si="2"/>
        <v>0</v>
      </c>
      <c r="AB18" s="40">
        <f t="shared" si="2"/>
        <v>0</v>
      </c>
      <c r="AC18" s="40">
        <f t="shared" si="3"/>
        <v>0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0.5</v>
      </c>
      <c r="AJ18" s="40">
        <f t="shared" si="3"/>
        <v>0.5</v>
      </c>
      <c r="AK18" s="40">
        <f t="shared" si="3"/>
        <v>0.5</v>
      </c>
      <c r="AL18" s="40">
        <f t="shared" si="3"/>
        <v>0.5</v>
      </c>
      <c r="AM18" s="40">
        <f t="shared" si="3"/>
        <v>0.5</v>
      </c>
      <c r="AN18" s="40">
        <f t="shared" si="3"/>
        <v>0.5</v>
      </c>
      <c r="AO18" s="40">
        <f t="shared" si="4"/>
        <v>0.5</v>
      </c>
      <c r="AP18" s="40">
        <f t="shared" si="4"/>
        <v>0.5</v>
      </c>
      <c r="AQ18" s="40">
        <f t="shared" si="4"/>
        <v>0.5</v>
      </c>
      <c r="AR18" s="40">
        <f t="shared" si="4"/>
        <v>0.5</v>
      </c>
      <c r="AS18" s="40">
        <f t="shared" si="4"/>
        <v>0.5</v>
      </c>
      <c r="AT18" s="40">
        <f t="shared" si="4"/>
        <v>0.5</v>
      </c>
      <c r="AU18" s="40">
        <f t="shared" si="4"/>
        <v>0.5</v>
      </c>
      <c r="AV18" s="40">
        <f t="shared" si="4"/>
        <v>0.5</v>
      </c>
      <c r="AW18" s="40">
        <f t="shared" si="4"/>
        <v>0.5</v>
      </c>
      <c r="AX18" s="40">
        <f t="shared" si="4"/>
        <v>0.5</v>
      </c>
      <c r="AY18" s="40">
        <f t="shared" si="4"/>
        <v>0.5</v>
      </c>
      <c r="AZ18" s="40">
        <f t="shared" si="4"/>
        <v>0.5</v>
      </c>
      <c r="BA18" s="40">
        <f t="shared" si="4"/>
        <v>0</v>
      </c>
      <c r="BB18" s="40">
        <f t="shared" si="4"/>
        <v>0</v>
      </c>
      <c r="BC18" s="40">
        <f t="shared" si="4"/>
        <v>0</v>
      </c>
      <c r="BD18" s="40">
        <f t="shared" si="4"/>
        <v>0</v>
      </c>
      <c r="BG18" s="41">
        <f t="shared" si="5"/>
        <v>0</v>
      </c>
      <c r="BH18" s="41">
        <f t="shared" si="6"/>
        <v>0</v>
      </c>
      <c r="BI18" s="41">
        <f t="shared" si="7"/>
        <v>0</v>
      </c>
      <c r="BJ18" s="41">
        <f t="shared" si="8"/>
        <v>0</v>
      </c>
      <c r="BK18" s="41">
        <f t="shared" si="9"/>
        <v>0</v>
      </c>
    </row>
    <row r="19" spans="1:63" x14ac:dyDescent="0.25">
      <c r="A19" s="42">
        <f t="shared" ref="A19:A21" si="12">A18</f>
        <v>52</v>
      </c>
      <c r="B19" s="43" t="s">
        <v>172</v>
      </c>
      <c r="C19" s="43" t="s">
        <v>163</v>
      </c>
      <c r="D19" s="42" t="s">
        <v>170</v>
      </c>
      <c r="E19" s="42">
        <v>1</v>
      </c>
      <c r="F19" s="44">
        <v>0.58333333333334403</v>
      </c>
      <c r="G19" s="44">
        <v>0.95833333333335602</v>
      </c>
      <c r="H19" s="39">
        <f t="shared" si="10"/>
        <v>9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0">
        <f t="shared" si="1"/>
        <v>0</v>
      </c>
      <c r="Q19" s="40">
        <f t="shared" si="1"/>
        <v>0</v>
      </c>
      <c r="R19" s="40">
        <f t="shared" si="1"/>
        <v>0</v>
      </c>
      <c r="S19" s="40">
        <f t="shared" si="1"/>
        <v>0</v>
      </c>
      <c r="T19" s="40">
        <f t="shared" si="1"/>
        <v>0</v>
      </c>
      <c r="U19" s="40">
        <f t="shared" si="1"/>
        <v>0</v>
      </c>
      <c r="V19" s="40">
        <f t="shared" si="1"/>
        <v>0</v>
      </c>
      <c r="W19" s="40">
        <f t="shared" si="1"/>
        <v>0</v>
      </c>
      <c r="X19" s="40">
        <f t="shared" si="1"/>
        <v>0</v>
      </c>
      <c r="Y19" s="40">
        <f t="shared" si="2"/>
        <v>0</v>
      </c>
      <c r="Z19" s="40">
        <f t="shared" si="2"/>
        <v>0</v>
      </c>
      <c r="AA19" s="40">
        <f t="shared" si="2"/>
        <v>0</v>
      </c>
      <c r="AB19" s="40">
        <f t="shared" si="2"/>
        <v>0</v>
      </c>
      <c r="AC19" s="40">
        <f t="shared" si="3"/>
        <v>0</v>
      </c>
      <c r="AD19" s="40">
        <f t="shared" si="3"/>
        <v>0</v>
      </c>
      <c r="AE19" s="40">
        <f t="shared" si="3"/>
        <v>0</v>
      </c>
      <c r="AF19" s="40">
        <f t="shared" si="3"/>
        <v>0</v>
      </c>
      <c r="AG19" s="40">
        <f t="shared" si="3"/>
        <v>0</v>
      </c>
      <c r="AH19" s="40">
        <f t="shared" si="3"/>
        <v>0</v>
      </c>
      <c r="AI19" s="40">
        <f t="shared" si="3"/>
        <v>0</v>
      </c>
      <c r="AJ19" s="40">
        <f t="shared" si="3"/>
        <v>0</v>
      </c>
      <c r="AK19" s="40">
        <f t="shared" si="3"/>
        <v>0.5</v>
      </c>
      <c r="AL19" s="40">
        <f t="shared" si="3"/>
        <v>0.5</v>
      </c>
      <c r="AM19" s="40">
        <f t="shared" si="3"/>
        <v>0.5</v>
      </c>
      <c r="AN19" s="40">
        <f t="shared" si="3"/>
        <v>0.5</v>
      </c>
      <c r="AO19" s="40">
        <f t="shared" si="4"/>
        <v>0.5</v>
      </c>
      <c r="AP19" s="40">
        <f t="shared" si="4"/>
        <v>0.5</v>
      </c>
      <c r="AQ19" s="40">
        <f t="shared" si="4"/>
        <v>0.5</v>
      </c>
      <c r="AR19" s="40">
        <f t="shared" si="4"/>
        <v>0.5</v>
      </c>
      <c r="AS19" s="40">
        <f t="shared" si="4"/>
        <v>0.5</v>
      </c>
      <c r="AT19" s="40">
        <f t="shared" si="4"/>
        <v>0.5</v>
      </c>
      <c r="AU19" s="40">
        <f t="shared" si="4"/>
        <v>0.5</v>
      </c>
      <c r="AV19" s="40">
        <f t="shared" si="4"/>
        <v>0.5</v>
      </c>
      <c r="AW19" s="40">
        <f t="shared" si="4"/>
        <v>0.5</v>
      </c>
      <c r="AX19" s="40">
        <f t="shared" si="4"/>
        <v>0.5</v>
      </c>
      <c r="AY19" s="40">
        <f t="shared" si="4"/>
        <v>0.5</v>
      </c>
      <c r="AZ19" s="40">
        <f t="shared" si="4"/>
        <v>0.5</v>
      </c>
      <c r="BA19" s="40">
        <f t="shared" si="4"/>
        <v>0.5</v>
      </c>
      <c r="BB19" s="40">
        <f t="shared" si="4"/>
        <v>0.5</v>
      </c>
      <c r="BC19" s="40">
        <f t="shared" si="4"/>
        <v>0</v>
      </c>
      <c r="BD19" s="40">
        <f t="shared" si="4"/>
        <v>0</v>
      </c>
      <c r="BG19" s="41">
        <f t="shared" si="5"/>
        <v>0</v>
      </c>
      <c r="BH19" s="41">
        <f t="shared" si="6"/>
        <v>0</v>
      </c>
      <c r="BI19" s="41">
        <f t="shared" si="7"/>
        <v>8</v>
      </c>
      <c r="BJ19" s="41">
        <f t="shared" si="8"/>
        <v>1</v>
      </c>
      <c r="BK19" s="41">
        <f t="shared" si="9"/>
        <v>0</v>
      </c>
    </row>
    <row r="20" spans="1:63" x14ac:dyDescent="0.25">
      <c r="A20" s="42">
        <f t="shared" si="12"/>
        <v>52</v>
      </c>
      <c r="B20" s="43" t="s">
        <v>172</v>
      </c>
      <c r="C20" s="43" t="s">
        <v>167</v>
      </c>
      <c r="D20" s="42" t="s">
        <v>170</v>
      </c>
      <c r="E20" s="42">
        <v>1</v>
      </c>
      <c r="F20" s="44">
        <v>0.95833333333335602</v>
      </c>
      <c r="G20" s="44">
        <v>0.29166666666666702</v>
      </c>
      <c r="H20" s="39">
        <f t="shared" si="10"/>
        <v>4</v>
      </c>
      <c r="I20" s="40">
        <f t="shared" si="1"/>
        <v>0.25</v>
      </c>
      <c r="J20" s="40">
        <f t="shared" si="1"/>
        <v>0.25</v>
      </c>
      <c r="K20" s="40">
        <f t="shared" si="1"/>
        <v>0.25</v>
      </c>
      <c r="L20" s="40">
        <f t="shared" si="1"/>
        <v>0.25</v>
      </c>
      <c r="M20" s="40">
        <f t="shared" si="1"/>
        <v>0.25</v>
      </c>
      <c r="N20" s="40">
        <f t="shared" si="1"/>
        <v>0.25</v>
      </c>
      <c r="O20" s="40">
        <f t="shared" si="1"/>
        <v>0.25</v>
      </c>
      <c r="P20" s="40">
        <f t="shared" si="1"/>
        <v>0.25</v>
      </c>
      <c r="Q20" s="40">
        <f t="shared" si="1"/>
        <v>0.25</v>
      </c>
      <c r="R20" s="40">
        <f t="shared" si="1"/>
        <v>0.25</v>
      </c>
      <c r="S20" s="40">
        <f t="shared" si="1"/>
        <v>0.25</v>
      </c>
      <c r="T20" s="40">
        <f t="shared" si="1"/>
        <v>0.25</v>
      </c>
      <c r="U20" s="40">
        <f t="shared" si="1"/>
        <v>0.25</v>
      </c>
      <c r="V20" s="40">
        <f t="shared" si="1"/>
        <v>0.25</v>
      </c>
      <c r="W20" s="40">
        <f t="shared" si="1"/>
        <v>0</v>
      </c>
      <c r="X20" s="40">
        <f t="shared" si="1"/>
        <v>0</v>
      </c>
      <c r="Y20" s="40">
        <f t="shared" si="2"/>
        <v>0</v>
      </c>
      <c r="Z20" s="40">
        <f t="shared" si="2"/>
        <v>0</v>
      </c>
      <c r="AA20" s="40">
        <f t="shared" si="2"/>
        <v>0</v>
      </c>
      <c r="AB20" s="40">
        <f t="shared" si="2"/>
        <v>0</v>
      </c>
      <c r="AC20" s="40">
        <f t="shared" si="3"/>
        <v>0</v>
      </c>
      <c r="AD20" s="40">
        <f t="shared" si="3"/>
        <v>0</v>
      </c>
      <c r="AE20" s="40">
        <f t="shared" si="3"/>
        <v>0</v>
      </c>
      <c r="AF20" s="40">
        <f t="shared" si="3"/>
        <v>0</v>
      </c>
      <c r="AG20" s="40">
        <f t="shared" si="3"/>
        <v>0</v>
      </c>
      <c r="AH20" s="40">
        <f t="shared" si="3"/>
        <v>0</v>
      </c>
      <c r="AI20" s="40">
        <f t="shared" si="3"/>
        <v>0</v>
      </c>
      <c r="AJ20" s="40">
        <f t="shared" si="3"/>
        <v>0</v>
      </c>
      <c r="AK20" s="40">
        <f t="shared" si="3"/>
        <v>0</v>
      </c>
      <c r="AL20" s="40">
        <f t="shared" si="3"/>
        <v>0</v>
      </c>
      <c r="AM20" s="40">
        <f t="shared" si="3"/>
        <v>0</v>
      </c>
      <c r="AN20" s="40">
        <f t="shared" si="3"/>
        <v>0</v>
      </c>
      <c r="AO20" s="40">
        <f t="shared" si="4"/>
        <v>0</v>
      </c>
      <c r="AP20" s="40">
        <f t="shared" si="4"/>
        <v>0</v>
      </c>
      <c r="AQ20" s="40">
        <f t="shared" si="4"/>
        <v>0</v>
      </c>
      <c r="AR20" s="40">
        <f t="shared" si="4"/>
        <v>0</v>
      </c>
      <c r="AS20" s="40">
        <f t="shared" si="4"/>
        <v>0</v>
      </c>
      <c r="AT20" s="40">
        <f t="shared" si="4"/>
        <v>0</v>
      </c>
      <c r="AU20" s="40">
        <f t="shared" si="4"/>
        <v>0</v>
      </c>
      <c r="AV20" s="40">
        <f t="shared" si="4"/>
        <v>0</v>
      </c>
      <c r="AW20" s="40">
        <f t="shared" si="4"/>
        <v>0</v>
      </c>
      <c r="AX20" s="40">
        <f t="shared" si="4"/>
        <v>0</v>
      </c>
      <c r="AY20" s="40">
        <f t="shared" si="4"/>
        <v>0</v>
      </c>
      <c r="AZ20" s="40">
        <f t="shared" si="4"/>
        <v>0</v>
      </c>
      <c r="BA20" s="40">
        <f t="shared" si="4"/>
        <v>0</v>
      </c>
      <c r="BB20" s="40">
        <f t="shared" si="4"/>
        <v>0</v>
      </c>
      <c r="BC20" s="40">
        <f t="shared" si="4"/>
        <v>0.25</v>
      </c>
      <c r="BD20" s="40">
        <f t="shared" si="4"/>
        <v>0.25</v>
      </c>
      <c r="BG20" s="41">
        <f t="shared" si="5"/>
        <v>0</v>
      </c>
      <c r="BH20" s="41">
        <f t="shared" si="6"/>
        <v>0</v>
      </c>
      <c r="BI20" s="41">
        <f t="shared" si="7"/>
        <v>0</v>
      </c>
      <c r="BJ20" s="41">
        <f t="shared" si="8"/>
        <v>0</v>
      </c>
      <c r="BK20" s="41">
        <f t="shared" si="9"/>
        <v>0</v>
      </c>
    </row>
    <row r="21" spans="1:63" x14ac:dyDescent="0.25">
      <c r="A21" s="42">
        <f t="shared" si="12"/>
        <v>52</v>
      </c>
      <c r="B21" s="43" t="s">
        <v>173</v>
      </c>
      <c r="C21" s="43" t="s">
        <v>163</v>
      </c>
      <c r="D21" s="42" t="s">
        <v>170</v>
      </c>
      <c r="E21" s="42">
        <v>1</v>
      </c>
      <c r="F21" s="44">
        <v>0.29166666666666702</v>
      </c>
      <c r="G21" s="44">
        <v>0.60416666666667795</v>
      </c>
      <c r="H21" s="39">
        <f t="shared" si="10"/>
        <v>7.5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0.5</v>
      </c>
      <c r="X21" s="40">
        <f t="shared" si="1"/>
        <v>0.5</v>
      </c>
      <c r="Y21" s="40">
        <f t="shared" si="2"/>
        <v>0.5</v>
      </c>
      <c r="Z21" s="40">
        <f t="shared" si="2"/>
        <v>0.5</v>
      </c>
      <c r="AA21" s="40">
        <f t="shared" si="2"/>
        <v>0.5</v>
      </c>
      <c r="AB21" s="40">
        <f t="shared" si="2"/>
        <v>0.5</v>
      </c>
      <c r="AC21" s="40">
        <f t="shared" si="3"/>
        <v>0.5</v>
      </c>
      <c r="AD21" s="40">
        <f t="shared" si="3"/>
        <v>0.5</v>
      </c>
      <c r="AE21" s="40">
        <f t="shared" si="3"/>
        <v>0.5</v>
      </c>
      <c r="AF21" s="40">
        <f t="shared" si="3"/>
        <v>0.5</v>
      </c>
      <c r="AG21" s="40">
        <f t="shared" si="3"/>
        <v>0.5</v>
      </c>
      <c r="AH21" s="40">
        <f t="shared" si="3"/>
        <v>0.5</v>
      </c>
      <c r="AI21" s="40">
        <f t="shared" si="3"/>
        <v>0.5</v>
      </c>
      <c r="AJ21" s="40">
        <f t="shared" si="3"/>
        <v>0.5</v>
      </c>
      <c r="AK21" s="40">
        <f t="shared" si="3"/>
        <v>0.5</v>
      </c>
      <c r="AL21" s="40">
        <f t="shared" si="3"/>
        <v>0</v>
      </c>
      <c r="AM21" s="40">
        <f t="shared" si="3"/>
        <v>0</v>
      </c>
      <c r="AN21" s="40">
        <f t="shared" si="3"/>
        <v>0</v>
      </c>
      <c r="AO21" s="40">
        <f t="shared" si="4"/>
        <v>0</v>
      </c>
      <c r="AP21" s="40">
        <f t="shared" si="4"/>
        <v>0</v>
      </c>
      <c r="AQ21" s="40">
        <f t="shared" si="4"/>
        <v>0</v>
      </c>
      <c r="AR21" s="40">
        <f t="shared" si="4"/>
        <v>0</v>
      </c>
      <c r="AS21" s="40">
        <f t="shared" si="4"/>
        <v>0</v>
      </c>
      <c r="AT21" s="40">
        <f t="shared" si="4"/>
        <v>0</v>
      </c>
      <c r="AU21" s="40">
        <f t="shared" si="4"/>
        <v>0</v>
      </c>
      <c r="AV21" s="40">
        <f t="shared" si="4"/>
        <v>0</v>
      </c>
      <c r="AW21" s="40">
        <f t="shared" si="4"/>
        <v>0</v>
      </c>
      <c r="AX21" s="40">
        <f t="shared" si="4"/>
        <v>0</v>
      </c>
      <c r="AY21" s="40">
        <f t="shared" si="4"/>
        <v>0</v>
      </c>
      <c r="AZ21" s="40">
        <f t="shared" si="4"/>
        <v>0</v>
      </c>
      <c r="BA21" s="40">
        <f t="shared" si="4"/>
        <v>0</v>
      </c>
      <c r="BB21" s="40">
        <f t="shared" si="4"/>
        <v>0</v>
      </c>
      <c r="BC21" s="40">
        <f t="shared" si="4"/>
        <v>0</v>
      </c>
      <c r="BD21" s="40">
        <f t="shared" si="4"/>
        <v>0</v>
      </c>
      <c r="BG21" s="41">
        <f t="shared" si="5"/>
        <v>0</v>
      </c>
      <c r="BH21" s="41">
        <f t="shared" si="6"/>
        <v>0</v>
      </c>
      <c r="BI21" s="41">
        <f t="shared" si="7"/>
        <v>3.5</v>
      </c>
      <c r="BJ21" s="41">
        <f t="shared" si="8"/>
        <v>0</v>
      </c>
      <c r="BK21" s="41">
        <f t="shared" si="9"/>
        <v>0</v>
      </c>
    </row>
    <row r="22" spans="1:63" x14ac:dyDescent="0.25">
      <c r="A22" s="42"/>
      <c r="B22" s="43"/>
      <c r="C22" s="43"/>
      <c r="D22" s="42"/>
      <c r="E22" s="42"/>
      <c r="F22" s="44"/>
      <c r="G22" s="44"/>
      <c r="H22" s="39">
        <f t="shared" si="10"/>
        <v>0</v>
      </c>
      <c r="I22" s="40">
        <f t="shared" si="1"/>
        <v>0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  <c r="N22" s="40">
        <f t="shared" si="1"/>
        <v>0</v>
      </c>
      <c r="O22" s="40">
        <f t="shared" si="1"/>
        <v>0</v>
      </c>
      <c r="P22" s="40">
        <f t="shared" si="1"/>
        <v>0</v>
      </c>
      <c r="Q22" s="40">
        <f t="shared" si="1"/>
        <v>0</v>
      </c>
      <c r="R22" s="40">
        <f t="shared" si="1"/>
        <v>0</v>
      </c>
      <c r="S22" s="40">
        <f t="shared" si="1"/>
        <v>0</v>
      </c>
      <c r="T22" s="40">
        <f t="shared" si="1"/>
        <v>0</v>
      </c>
      <c r="U22" s="40">
        <f t="shared" si="1"/>
        <v>0</v>
      </c>
      <c r="V22" s="40">
        <f t="shared" si="1"/>
        <v>0</v>
      </c>
      <c r="W22" s="40">
        <f t="shared" si="1"/>
        <v>0</v>
      </c>
      <c r="X22" s="40">
        <f t="shared" si="1"/>
        <v>0</v>
      </c>
      <c r="Y22" s="40">
        <f t="shared" si="2"/>
        <v>0</v>
      </c>
      <c r="Z22" s="40">
        <f t="shared" si="2"/>
        <v>0</v>
      </c>
      <c r="AA22" s="40">
        <f t="shared" si="2"/>
        <v>0</v>
      </c>
      <c r="AB22" s="40">
        <f t="shared" si="2"/>
        <v>0</v>
      </c>
      <c r="AC22" s="40">
        <f t="shared" si="3"/>
        <v>0</v>
      </c>
      <c r="AD22" s="40">
        <f t="shared" si="3"/>
        <v>0</v>
      </c>
      <c r="AE22" s="40">
        <f t="shared" si="3"/>
        <v>0</v>
      </c>
      <c r="AF22" s="40">
        <f t="shared" si="3"/>
        <v>0</v>
      </c>
      <c r="AG22" s="40">
        <f t="shared" si="3"/>
        <v>0</v>
      </c>
      <c r="AH22" s="40">
        <f t="shared" si="3"/>
        <v>0</v>
      </c>
      <c r="AI22" s="40">
        <f t="shared" si="3"/>
        <v>0</v>
      </c>
      <c r="AJ22" s="40">
        <f t="shared" si="3"/>
        <v>0</v>
      </c>
      <c r="AK22" s="40">
        <f t="shared" si="3"/>
        <v>0</v>
      </c>
      <c r="AL22" s="40">
        <f t="shared" si="3"/>
        <v>0</v>
      </c>
      <c r="AM22" s="40">
        <f t="shared" si="3"/>
        <v>0</v>
      </c>
      <c r="AN22" s="40">
        <f t="shared" si="3"/>
        <v>0</v>
      </c>
      <c r="AO22" s="40">
        <f t="shared" si="4"/>
        <v>0</v>
      </c>
      <c r="AP22" s="40">
        <f t="shared" si="4"/>
        <v>0</v>
      </c>
      <c r="AQ22" s="40">
        <f t="shared" si="4"/>
        <v>0</v>
      </c>
      <c r="AR22" s="40">
        <f t="shared" si="4"/>
        <v>0</v>
      </c>
      <c r="AS22" s="40">
        <f t="shared" si="4"/>
        <v>0</v>
      </c>
      <c r="AT22" s="40">
        <f t="shared" si="4"/>
        <v>0</v>
      </c>
      <c r="AU22" s="40">
        <f t="shared" si="4"/>
        <v>0</v>
      </c>
      <c r="AV22" s="40">
        <f t="shared" si="4"/>
        <v>0</v>
      </c>
      <c r="AW22" s="40">
        <f t="shared" si="4"/>
        <v>0</v>
      </c>
      <c r="AX22" s="40">
        <f t="shared" si="4"/>
        <v>0</v>
      </c>
      <c r="AY22" s="40">
        <f t="shared" si="4"/>
        <v>0</v>
      </c>
      <c r="AZ22" s="40">
        <f t="shared" si="4"/>
        <v>0</v>
      </c>
      <c r="BA22" s="40">
        <f t="shared" si="4"/>
        <v>0</v>
      </c>
      <c r="BB22" s="40">
        <f t="shared" si="4"/>
        <v>0</v>
      </c>
      <c r="BC22" s="40">
        <f t="shared" si="4"/>
        <v>0</v>
      </c>
      <c r="BD22" s="40">
        <f t="shared" si="4"/>
        <v>0</v>
      </c>
      <c r="BG22" s="41">
        <f t="shared" si="5"/>
        <v>0</v>
      </c>
      <c r="BH22" s="41">
        <f t="shared" si="6"/>
        <v>0</v>
      </c>
      <c r="BI22" s="41">
        <f t="shared" si="7"/>
        <v>0</v>
      </c>
      <c r="BJ22" s="41">
        <f t="shared" si="8"/>
        <v>0</v>
      </c>
      <c r="BK22" s="41">
        <f t="shared" si="9"/>
        <v>0</v>
      </c>
    </row>
    <row r="23" spans="1:63" x14ac:dyDescent="0.25">
      <c r="A23" s="42">
        <v>52</v>
      </c>
      <c r="B23" s="43" t="s">
        <v>174</v>
      </c>
      <c r="C23" s="43" t="s">
        <v>163</v>
      </c>
      <c r="D23" s="42" t="s">
        <v>175</v>
      </c>
      <c r="E23" s="42">
        <v>0</v>
      </c>
      <c r="F23" s="44">
        <v>0.39583333333333698</v>
      </c>
      <c r="G23" s="44">
        <v>0.72916666666668195</v>
      </c>
      <c r="H23" s="39">
        <f>IF(C23="werk",IF(G23&gt;F23,E23*((HOUR(G23)*60+MINUTE(G23))-(HOUR(F23)*60+MINUTE(F23)))/60,E23*(1440-(HOUR(F23)*60+MINUTE(F23))+(HOUR(G23)*60+MINUTE(G23)))/60),IF(G23&gt;F23,E23*((HOUR(G23)*60+MINUTE(G23))-(HOUR(F23)*60+MINUTE(F23)))/60,E23*(1440-(HOUR(F23)*60+MINUTE(F23))+(HOUR(G23)*60+MINUTE(G23)))/60)*50%)</f>
        <v>0</v>
      </c>
      <c r="I23" s="40">
        <f t="shared" si="1"/>
        <v>0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  <c r="N23" s="40">
        <f t="shared" si="1"/>
        <v>0</v>
      </c>
      <c r="O23" s="40">
        <f t="shared" si="1"/>
        <v>0</v>
      </c>
      <c r="P23" s="40">
        <f t="shared" si="1"/>
        <v>0</v>
      </c>
      <c r="Q23" s="40">
        <f t="shared" si="1"/>
        <v>0</v>
      </c>
      <c r="R23" s="40">
        <f t="shared" si="1"/>
        <v>0</v>
      </c>
      <c r="S23" s="40">
        <f t="shared" si="1"/>
        <v>0</v>
      </c>
      <c r="T23" s="40">
        <f t="shared" si="1"/>
        <v>0</v>
      </c>
      <c r="U23" s="40">
        <f t="shared" si="1"/>
        <v>0</v>
      </c>
      <c r="V23" s="40">
        <f t="shared" si="1"/>
        <v>0</v>
      </c>
      <c r="W23" s="40">
        <f t="shared" si="1"/>
        <v>0</v>
      </c>
      <c r="X23" s="40">
        <f t="shared" si="1"/>
        <v>0</v>
      </c>
      <c r="Y23" s="40">
        <f t="shared" si="2"/>
        <v>0</v>
      </c>
      <c r="Z23" s="40">
        <f t="shared" si="2"/>
        <v>0</v>
      </c>
      <c r="AA23" s="40">
        <f t="shared" si="2"/>
        <v>0</v>
      </c>
      <c r="AB23" s="40">
        <f t="shared" si="2"/>
        <v>0.5</v>
      </c>
      <c r="AC23" s="40">
        <f t="shared" si="3"/>
        <v>0.5</v>
      </c>
      <c r="AD23" s="40">
        <f t="shared" si="3"/>
        <v>0.5</v>
      </c>
      <c r="AE23" s="40">
        <f t="shared" si="3"/>
        <v>0.5</v>
      </c>
      <c r="AF23" s="40">
        <f t="shared" si="3"/>
        <v>0.5</v>
      </c>
      <c r="AG23" s="40">
        <f t="shared" si="3"/>
        <v>0.5</v>
      </c>
      <c r="AH23" s="40">
        <f t="shared" si="3"/>
        <v>0.5</v>
      </c>
      <c r="AI23" s="40">
        <f t="shared" si="3"/>
        <v>0.5</v>
      </c>
      <c r="AJ23" s="40">
        <f t="shared" si="3"/>
        <v>0.5</v>
      </c>
      <c r="AK23" s="40">
        <f t="shared" si="3"/>
        <v>0.5</v>
      </c>
      <c r="AL23" s="40">
        <f t="shared" si="3"/>
        <v>0.5</v>
      </c>
      <c r="AM23" s="40">
        <f t="shared" si="3"/>
        <v>0.5</v>
      </c>
      <c r="AN23" s="40">
        <f t="shared" si="3"/>
        <v>0.5</v>
      </c>
      <c r="AO23" s="40">
        <f t="shared" si="4"/>
        <v>0.5</v>
      </c>
      <c r="AP23" s="40">
        <f t="shared" si="4"/>
        <v>0.5</v>
      </c>
      <c r="AQ23" s="40">
        <f t="shared" si="4"/>
        <v>0.5</v>
      </c>
      <c r="AR23" s="40">
        <f t="shared" si="4"/>
        <v>0</v>
      </c>
      <c r="AS23" s="40">
        <f t="shared" si="4"/>
        <v>0</v>
      </c>
      <c r="AT23" s="40">
        <f t="shared" si="4"/>
        <v>0</v>
      </c>
      <c r="AU23" s="40">
        <f t="shared" si="4"/>
        <v>0</v>
      </c>
      <c r="AV23" s="40">
        <f t="shared" si="4"/>
        <v>0</v>
      </c>
      <c r="AW23" s="40">
        <f t="shared" si="4"/>
        <v>0</v>
      </c>
      <c r="AX23" s="40">
        <f t="shared" si="4"/>
        <v>0</v>
      </c>
      <c r="AY23" s="40">
        <f t="shared" si="4"/>
        <v>0</v>
      </c>
      <c r="AZ23" s="40">
        <f t="shared" si="4"/>
        <v>0</v>
      </c>
      <c r="BA23" s="40">
        <f t="shared" si="4"/>
        <v>0</v>
      </c>
      <c r="BB23" s="40">
        <f t="shared" si="4"/>
        <v>0</v>
      </c>
      <c r="BC23" s="40">
        <f t="shared" si="4"/>
        <v>0</v>
      </c>
      <c r="BD23" s="40">
        <f t="shared" si="4"/>
        <v>0</v>
      </c>
      <c r="BG23" s="41">
        <f t="shared" si="5"/>
        <v>0</v>
      </c>
      <c r="BH23" s="41">
        <f t="shared" si="6"/>
        <v>0</v>
      </c>
      <c r="BI23" s="41">
        <f t="shared" si="7"/>
        <v>0</v>
      </c>
      <c r="BJ23" s="41">
        <f t="shared" si="8"/>
        <v>0</v>
      </c>
      <c r="BK23" s="41">
        <f t="shared" si="9"/>
        <v>0</v>
      </c>
    </row>
    <row r="24" spans="1:63" x14ac:dyDescent="0.25">
      <c r="A24" s="42">
        <f>A23</f>
        <v>52</v>
      </c>
      <c r="B24" s="43" t="s">
        <v>176</v>
      </c>
      <c r="C24" s="43" t="s">
        <v>163</v>
      </c>
      <c r="D24" s="42" t="s">
        <v>175</v>
      </c>
      <c r="E24" s="42">
        <v>0</v>
      </c>
      <c r="F24" s="44">
        <v>0.54166666666667496</v>
      </c>
      <c r="G24" s="44">
        <v>0.91666666666668795</v>
      </c>
      <c r="H24" s="39">
        <f t="shared" ref="H24:H27" si="13">IF(C24="werk",IF(G24&gt;F24,E24*((HOUR(G24)*60+MINUTE(G24))-(HOUR(F24)*60+MINUTE(F24)))/60,E24*(1440-(HOUR(F24)*60+MINUTE(F24))+(HOUR(G24)*60+MINUTE(G24)))/60),IF(G24&gt;F24,E24*((HOUR(G24)*60+MINUTE(G24))-(HOUR(F24)*60+MINUTE(F24)))/60,E24*(1440-(HOUR(F24)*60+MINUTE(F24))+(HOUR(G24)*60+MINUTE(G24)))/60)*50%)</f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  <c r="N24" s="40">
        <f t="shared" si="1"/>
        <v>0</v>
      </c>
      <c r="O24" s="40">
        <f t="shared" si="1"/>
        <v>0</v>
      </c>
      <c r="P24" s="40">
        <f t="shared" si="1"/>
        <v>0</v>
      </c>
      <c r="Q24" s="40">
        <f t="shared" si="1"/>
        <v>0</v>
      </c>
      <c r="R24" s="40">
        <f t="shared" si="1"/>
        <v>0</v>
      </c>
      <c r="S24" s="40">
        <f t="shared" si="1"/>
        <v>0</v>
      </c>
      <c r="T24" s="40">
        <f t="shared" si="1"/>
        <v>0</v>
      </c>
      <c r="U24" s="40">
        <f t="shared" si="1"/>
        <v>0</v>
      </c>
      <c r="V24" s="40">
        <f t="shared" si="1"/>
        <v>0</v>
      </c>
      <c r="W24" s="40">
        <f t="shared" si="1"/>
        <v>0</v>
      </c>
      <c r="X24" s="40">
        <f t="shared" si="1"/>
        <v>0</v>
      </c>
      <c r="Y24" s="40">
        <f t="shared" si="2"/>
        <v>0</v>
      </c>
      <c r="Z24" s="40">
        <f t="shared" si="2"/>
        <v>0</v>
      </c>
      <c r="AA24" s="40">
        <f t="shared" si="2"/>
        <v>0</v>
      </c>
      <c r="AB24" s="40">
        <f t="shared" si="2"/>
        <v>0</v>
      </c>
      <c r="AC24" s="40">
        <f t="shared" si="3"/>
        <v>0</v>
      </c>
      <c r="AD24" s="40">
        <f t="shared" si="3"/>
        <v>0</v>
      </c>
      <c r="AE24" s="40">
        <f t="shared" si="3"/>
        <v>0</v>
      </c>
      <c r="AF24" s="40">
        <f t="shared" si="3"/>
        <v>0</v>
      </c>
      <c r="AG24" s="40">
        <f t="shared" si="3"/>
        <v>0</v>
      </c>
      <c r="AH24" s="40">
        <f t="shared" si="3"/>
        <v>0</v>
      </c>
      <c r="AI24" s="40">
        <f t="shared" si="3"/>
        <v>0.5</v>
      </c>
      <c r="AJ24" s="40">
        <f t="shared" si="3"/>
        <v>0.5</v>
      </c>
      <c r="AK24" s="40">
        <f t="shared" si="3"/>
        <v>0.5</v>
      </c>
      <c r="AL24" s="40">
        <f t="shared" si="3"/>
        <v>0.5</v>
      </c>
      <c r="AM24" s="40">
        <f t="shared" si="3"/>
        <v>0.5</v>
      </c>
      <c r="AN24" s="40">
        <f t="shared" si="3"/>
        <v>0.5</v>
      </c>
      <c r="AO24" s="40">
        <f t="shared" si="4"/>
        <v>0.5</v>
      </c>
      <c r="AP24" s="40">
        <f t="shared" si="4"/>
        <v>0.5</v>
      </c>
      <c r="AQ24" s="40">
        <f t="shared" si="4"/>
        <v>0.5</v>
      </c>
      <c r="AR24" s="40">
        <f t="shared" si="4"/>
        <v>0.5</v>
      </c>
      <c r="AS24" s="40">
        <f t="shared" si="4"/>
        <v>0.5</v>
      </c>
      <c r="AT24" s="40">
        <f t="shared" si="4"/>
        <v>0.5</v>
      </c>
      <c r="AU24" s="40">
        <f t="shared" si="4"/>
        <v>0.5</v>
      </c>
      <c r="AV24" s="40">
        <f t="shared" si="4"/>
        <v>0.5</v>
      </c>
      <c r="AW24" s="40">
        <f t="shared" si="4"/>
        <v>0.5</v>
      </c>
      <c r="AX24" s="40">
        <f t="shared" si="4"/>
        <v>0.5</v>
      </c>
      <c r="AY24" s="40">
        <f t="shared" si="4"/>
        <v>0.5</v>
      </c>
      <c r="AZ24" s="40">
        <f t="shared" si="4"/>
        <v>0.5</v>
      </c>
      <c r="BA24" s="40">
        <f t="shared" si="4"/>
        <v>0</v>
      </c>
      <c r="BB24" s="40">
        <f t="shared" si="4"/>
        <v>0</v>
      </c>
      <c r="BC24" s="40">
        <f t="shared" si="4"/>
        <v>0</v>
      </c>
      <c r="BD24" s="40">
        <f t="shared" si="4"/>
        <v>0</v>
      </c>
      <c r="BG24" s="41">
        <f t="shared" si="5"/>
        <v>0</v>
      </c>
      <c r="BH24" s="41">
        <f t="shared" si="6"/>
        <v>0</v>
      </c>
      <c r="BI24" s="41">
        <f t="shared" si="7"/>
        <v>0</v>
      </c>
      <c r="BJ24" s="41">
        <f t="shared" si="8"/>
        <v>0</v>
      </c>
      <c r="BK24" s="41">
        <f t="shared" si="9"/>
        <v>0</v>
      </c>
    </row>
    <row r="25" spans="1:63" x14ac:dyDescent="0.25">
      <c r="A25" s="42">
        <f t="shared" ref="A25:A30" si="14">A24</f>
        <v>52</v>
      </c>
      <c r="B25" s="43" t="s">
        <v>177</v>
      </c>
      <c r="C25" s="43" t="s">
        <v>163</v>
      </c>
      <c r="D25" s="42" t="s">
        <v>175</v>
      </c>
      <c r="E25" s="42">
        <v>1</v>
      </c>
      <c r="F25" s="44">
        <v>0.58333333333334403</v>
      </c>
      <c r="G25" s="44">
        <v>0.95833333333335602</v>
      </c>
      <c r="H25" s="39">
        <f t="shared" si="13"/>
        <v>9</v>
      </c>
      <c r="I25" s="40">
        <f t="shared" si="1"/>
        <v>0</v>
      </c>
      <c r="J25" s="40">
        <f t="shared" si="1"/>
        <v>0</v>
      </c>
      <c r="K25" s="40">
        <f t="shared" si="1"/>
        <v>0</v>
      </c>
      <c r="L25" s="40">
        <f t="shared" si="1"/>
        <v>0</v>
      </c>
      <c r="M25" s="40">
        <f t="shared" si="1"/>
        <v>0</v>
      </c>
      <c r="N25" s="40">
        <f t="shared" si="1"/>
        <v>0</v>
      </c>
      <c r="O25" s="40">
        <f t="shared" si="1"/>
        <v>0</v>
      </c>
      <c r="P25" s="40">
        <f t="shared" si="1"/>
        <v>0</v>
      </c>
      <c r="Q25" s="40">
        <f t="shared" si="1"/>
        <v>0</v>
      </c>
      <c r="R25" s="40">
        <f t="shared" si="1"/>
        <v>0</v>
      </c>
      <c r="S25" s="40">
        <f t="shared" si="1"/>
        <v>0</v>
      </c>
      <c r="T25" s="40">
        <f t="shared" si="1"/>
        <v>0</v>
      </c>
      <c r="U25" s="40">
        <f t="shared" si="1"/>
        <v>0</v>
      </c>
      <c r="V25" s="40">
        <f t="shared" si="1"/>
        <v>0</v>
      </c>
      <c r="W25" s="40">
        <f t="shared" si="1"/>
        <v>0</v>
      </c>
      <c r="X25" s="40">
        <f t="shared" si="1"/>
        <v>0</v>
      </c>
      <c r="Y25" s="40">
        <f t="shared" si="2"/>
        <v>0</v>
      </c>
      <c r="Z25" s="40">
        <f t="shared" si="2"/>
        <v>0</v>
      </c>
      <c r="AA25" s="40">
        <f t="shared" si="2"/>
        <v>0</v>
      </c>
      <c r="AB25" s="40">
        <f t="shared" si="2"/>
        <v>0</v>
      </c>
      <c r="AC25" s="40">
        <f t="shared" si="3"/>
        <v>0</v>
      </c>
      <c r="AD25" s="40">
        <f t="shared" si="3"/>
        <v>0</v>
      </c>
      <c r="AE25" s="40">
        <f t="shared" si="3"/>
        <v>0</v>
      </c>
      <c r="AF25" s="40">
        <f t="shared" si="3"/>
        <v>0</v>
      </c>
      <c r="AG25" s="40">
        <f t="shared" si="3"/>
        <v>0</v>
      </c>
      <c r="AH25" s="40">
        <f t="shared" si="3"/>
        <v>0</v>
      </c>
      <c r="AI25" s="40">
        <f t="shared" si="3"/>
        <v>0</v>
      </c>
      <c r="AJ25" s="40">
        <f t="shared" si="3"/>
        <v>0</v>
      </c>
      <c r="AK25" s="40">
        <f t="shared" si="3"/>
        <v>0.5</v>
      </c>
      <c r="AL25" s="40">
        <f t="shared" si="3"/>
        <v>0.5</v>
      </c>
      <c r="AM25" s="40">
        <f t="shared" si="3"/>
        <v>0.5</v>
      </c>
      <c r="AN25" s="40">
        <f t="shared" si="3"/>
        <v>0.5</v>
      </c>
      <c r="AO25" s="40">
        <f t="shared" si="4"/>
        <v>0.5</v>
      </c>
      <c r="AP25" s="40">
        <f t="shared" si="4"/>
        <v>0.5</v>
      </c>
      <c r="AQ25" s="40">
        <f t="shared" si="4"/>
        <v>0.5</v>
      </c>
      <c r="AR25" s="40">
        <f t="shared" si="4"/>
        <v>0.5</v>
      </c>
      <c r="AS25" s="40">
        <f t="shared" si="4"/>
        <v>0.5</v>
      </c>
      <c r="AT25" s="40">
        <f t="shared" si="4"/>
        <v>0.5</v>
      </c>
      <c r="AU25" s="40">
        <f t="shared" si="4"/>
        <v>0.5</v>
      </c>
      <c r="AV25" s="40">
        <f t="shared" si="4"/>
        <v>0.5</v>
      </c>
      <c r="AW25" s="40">
        <f t="shared" si="4"/>
        <v>0.5</v>
      </c>
      <c r="AX25" s="40">
        <f t="shared" si="4"/>
        <v>0.5</v>
      </c>
      <c r="AY25" s="40">
        <f t="shared" si="4"/>
        <v>0.5</v>
      </c>
      <c r="AZ25" s="40">
        <f t="shared" si="4"/>
        <v>0.5</v>
      </c>
      <c r="BA25" s="40">
        <f t="shared" si="4"/>
        <v>0.5</v>
      </c>
      <c r="BB25" s="40">
        <f t="shared" si="4"/>
        <v>0.5</v>
      </c>
      <c r="BC25" s="40">
        <f t="shared" si="4"/>
        <v>0</v>
      </c>
      <c r="BD25" s="40">
        <f t="shared" si="4"/>
        <v>0</v>
      </c>
      <c r="BG25" s="41">
        <f t="shared" si="5"/>
        <v>0</v>
      </c>
      <c r="BH25" s="41">
        <f t="shared" si="6"/>
        <v>0</v>
      </c>
      <c r="BI25" s="41">
        <f t="shared" si="7"/>
        <v>0</v>
      </c>
      <c r="BJ25" s="41">
        <f t="shared" si="8"/>
        <v>0</v>
      </c>
      <c r="BK25" s="41">
        <f t="shared" si="9"/>
        <v>9</v>
      </c>
    </row>
    <row r="26" spans="1:63" x14ac:dyDescent="0.25">
      <c r="A26" s="42">
        <f t="shared" si="14"/>
        <v>52</v>
      </c>
      <c r="B26" s="43" t="s">
        <v>177</v>
      </c>
      <c r="C26" s="43" t="s">
        <v>167</v>
      </c>
      <c r="D26" s="42" t="s">
        <v>175</v>
      </c>
      <c r="E26" s="42">
        <v>1</v>
      </c>
      <c r="F26" s="44">
        <v>0.95833333333335602</v>
      </c>
      <c r="G26" s="44">
        <v>0.29166666666666702</v>
      </c>
      <c r="H26" s="39">
        <f t="shared" si="13"/>
        <v>4</v>
      </c>
      <c r="I26" s="40">
        <f t="shared" si="1"/>
        <v>0.25</v>
      </c>
      <c r="J26" s="40">
        <f t="shared" si="1"/>
        <v>0.25</v>
      </c>
      <c r="K26" s="40">
        <f t="shared" si="1"/>
        <v>0.25</v>
      </c>
      <c r="L26" s="40">
        <f t="shared" si="1"/>
        <v>0.25</v>
      </c>
      <c r="M26" s="40">
        <f t="shared" si="1"/>
        <v>0.25</v>
      </c>
      <c r="N26" s="40">
        <f t="shared" si="1"/>
        <v>0.25</v>
      </c>
      <c r="O26" s="40">
        <f t="shared" si="1"/>
        <v>0.25</v>
      </c>
      <c r="P26" s="40">
        <f t="shared" si="1"/>
        <v>0.25</v>
      </c>
      <c r="Q26" s="40">
        <f t="shared" si="1"/>
        <v>0.25</v>
      </c>
      <c r="R26" s="40">
        <f t="shared" si="1"/>
        <v>0.25</v>
      </c>
      <c r="S26" s="40">
        <f t="shared" si="1"/>
        <v>0.25</v>
      </c>
      <c r="T26" s="40">
        <f t="shared" si="1"/>
        <v>0.25</v>
      </c>
      <c r="U26" s="40">
        <f t="shared" si="1"/>
        <v>0.25</v>
      </c>
      <c r="V26" s="40">
        <f t="shared" si="1"/>
        <v>0.25</v>
      </c>
      <c r="W26" s="40">
        <f t="shared" si="1"/>
        <v>0</v>
      </c>
      <c r="X26" s="40">
        <f t="shared" si="1"/>
        <v>0</v>
      </c>
      <c r="Y26" s="40">
        <f t="shared" si="2"/>
        <v>0</v>
      </c>
      <c r="Z26" s="40">
        <f t="shared" si="2"/>
        <v>0</v>
      </c>
      <c r="AA26" s="40">
        <f t="shared" si="2"/>
        <v>0</v>
      </c>
      <c r="AB26" s="40">
        <f t="shared" si="2"/>
        <v>0</v>
      </c>
      <c r="AC26" s="40">
        <f t="shared" si="3"/>
        <v>0</v>
      </c>
      <c r="AD26" s="40">
        <f t="shared" si="3"/>
        <v>0</v>
      </c>
      <c r="AE26" s="40">
        <f t="shared" si="3"/>
        <v>0</v>
      </c>
      <c r="AF26" s="40">
        <f t="shared" si="3"/>
        <v>0</v>
      </c>
      <c r="AG26" s="40">
        <f t="shared" si="3"/>
        <v>0</v>
      </c>
      <c r="AH26" s="40">
        <f t="shared" si="3"/>
        <v>0</v>
      </c>
      <c r="AI26" s="40">
        <f t="shared" si="3"/>
        <v>0</v>
      </c>
      <c r="AJ26" s="40">
        <f t="shared" si="3"/>
        <v>0</v>
      </c>
      <c r="AK26" s="40">
        <f t="shared" si="3"/>
        <v>0</v>
      </c>
      <c r="AL26" s="40">
        <f t="shared" si="3"/>
        <v>0</v>
      </c>
      <c r="AM26" s="40">
        <f t="shared" si="3"/>
        <v>0</v>
      </c>
      <c r="AN26" s="40">
        <f t="shared" si="3"/>
        <v>0</v>
      </c>
      <c r="AO26" s="40">
        <f t="shared" si="3"/>
        <v>0</v>
      </c>
      <c r="AP26" s="40">
        <f t="shared" si="3"/>
        <v>0</v>
      </c>
      <c r="AQ26" s="40">
        <f t="shared" si="3"/>
        <v>0</v>
      </c>
      <c r="AR26" s="40">
        <f t="shared" si="3"/>
        <v>0</v>
      </c>
      <c r="AS26" s="40">
        <f t="shared" si="4"/>
        <v>0</v>
      </c>
      <c r="AT26" s="40">
        <f t="shared" si="4"/>
        <v>0</v>
      </c>
      <c r="AU26" s="40">
        <f t="shared" si="4"/>
        <v>0</v>
      </c>
      <c r="AV26" s="40">
        <f t="shared" si="4"/>
        <v>0</v>
      </c>
      <c r="AW26" s="40">
        <f t="shared" si="4"/>
        <v>0</v>
      </c>
      <c r="AX26" s="40">
        <f t="shared" si="4"/>
        <v>0</v>
      </c>
      <c r="AY26" s="40">
        <f t="shared" si="4"/>
        <v>0</v>
      </c>
      <c r="AZ26" s="40">
        <f t="shared" si="4"/>
        <v>0</v>
      </c>
      <c r="BA26" s="40">
        <f t="shared" si="4"/>
        <v>0</v>
      </c>
      <c r="BB26" s="40">
        <f t="shared" si="4"/>
        <v>0</v>
      </c>
      <c r="BC26" s="40">
        <f t="shared" si="4"/>
        <v>0.25</v>
      </c>
      <c r="BD26" s="40">
        <f t="shared" si="4"/>
        <v>0.25</v>
      </c>
      <c r="BG26" s="41">
        <f t="shared" si="5"/>
        <v>0</v>
      </c>
      <c r="BH26" s="41">
        <f t="shared" si="6"/>
        <v>0</v>
      </c>
      <c r="BI26" s="41">
        <f t="shared" si="7"/>
        <v>0</v>
      </c>
      <c r="BJ26" s="41">
        <f t="shared" si="8"/>
        <v>0</v>
      </c>
      <c r="BK26" s="41">
        <f t="shared" si="9"/>
        <v>0</v>
      </c>
    </row>
    <row r="27" spans="1:63" x14ac:dyDescent="0.25">
      <c r="A27" s="42">
        <f t="shared" si="14"/>
        <v>52</v>
      </c>
      <c r="B27" s="43" t="s">
        <v>178</v>
      </c>
      <c r="C27" s="43" t="s">
        <v>163</v>
      </c>
      <c r="D27" s="42" t="s">
        <v>175</v>
      </c>
      <c r="E27" s="42">
        <v>1</v>
      </c>
      <c r="F27" s="44">
        <v>0.29166666666666702</v>
      </c>
      <c r="G27" s="44">
        <v>0.60416666666667795</v>
      </c>
      <c r="H27" s="39">
        <f t="shared" si="13"/>
        <v>7.5</v>
      </c>
      <c r="I27" s="40">
        <f t="shared" ref="I27:X30" si="15">IF($G27="",0,IF(C27="werk",IF($G27&gt;$F27,IF(AND($F27&lt;J$9,$G27&gt;J$9),0.5,0),IF(OR($F27&lt;J$9,$G27&gt;J$9),0.5,0)),IF($G27&gt;$F27,IF(AND($F27&lt;J$9,$G27&gt;J$9),0.5,0),IF(OR($F27&lt;J$9,$G27&gt;=J$9),0.25,0))))</f>
        <v>0</v>
      </c>
      <c r="J27" s="40">
        <f t="shared" si="15"/>
        <v>0</v>
      </c>
      <c r="K27" s="40">
        <f t="shared" si="15"/>
        <v>0</v>
      </c>
      <c r="L27" s="40">
        <f t="shared" si="15"/>
        <v>0</v>
      </c>
      <c r="M27" s="40">
        <f t="shared" si="15"/>
        <v>0</v>
      </c>
      <c r="N27" s="40">
        <f t="shared" si="15"/>
        <v>0</v>
      </c>
      <c r="O27" s="40">
        <f t="shared" si="15"/>
        <v>0</v>
      </c>
      <c r="P27" s="40">
        <f t="shared" si="15"/>
        <v>0</v>
      </c>
      <c r="Q27" s="40">
        <f t="shared" si="15"/>
        <v>0</v>
      </c>
      <c r="R27" s="40">
        <f t="shared" si="15"/>
        <v>0</v>
      </c>
      <c r="S27" s="40">
        <f t="shared" si="15"/>
        <v>0</v>
      </c>
      <c r="T27" s="40">
        <f t="shared" si="15"/>
        <v>0</v>
      </c>
      <c r="U27" s="40">
        <f t="shared" si="15"/>
        <v>0</v>
      </c>
      <c r="V27" s="40">
        <f t="shared" si="15"/>
        <v>0</v>
      </c>
      <c r="W27" s="40">
        <f t="shared" si="15"/>
        <v>0.5</v>
      </c>
      <c r="X27" s="40">
        <f t="shared" si="15"/>
        <v>0.5</v>
      </c>
      <c r="Y27" s="40">
        <f t="shared" ref="Y27:AN30" si="16">IF($G27="",0,IF(S27="werk",IF($G27&gt;$F27,IF(AND($F27&lt;Z$9,$G27&gt;Z$9),0.5,0),IF(OR($F27&lt;Z$9,$G27&gt;Z$9),0.5,0)),IF($G27&gt;$F27,IF(AND($F27&lt;Z$9,$G27&gt;Z$9),0.5,0),IF(OR($F27&lt;Z$9,$G27&gt;=Z$9),0.25,0))))</f>
        <v>0.5</v>
      </c>
      <c r="Z27" s="40">
        <f t="shared" si="16"/>
        <v>0.5</v>
      </c>
      <c r="AA27" s="40">
        <f t="shared" si="16"/>
        <v>0.5</v>
      </c>
      <c r="AB27" s="40">
        <f t="shared" si="16"/>
        <v>0.5</v>
      </c>
      <c r="AC27" s="40">
        <f t="shared" si="16"/>
        <v>0.5</v>
      </c>
      <c r="AD27" s="40">
        <f t="shared" si="16"/>
        <v>0.5</v>
      </c>
      <c r="AE27" s="40">
        <f t="shared" si="16"/>
        <v>0.5</v>
      </c>
      <c r="AF27" s="40">
        <f t="shared" si="16"/>
        <v>0.5</v>
      </c>
      <c r="AG27" s="40">
        <f t="shared" si="16"/>
        <v>0.5</v>
      </c>
      <c r="AH27" s="40">
        <f t="shared" si="16"/>
        <v>0.5</v>
      </c>
      <c r="AI27" s="40">
        <f t="shared" si="16"/>
        <v>0.5</v>
      </c>
      <c r="AJ27" s="40">
        <f t="shared" si="16"/>
        <v>0.5</v>
      </c>
      <c r="AK27" s="40">
        <f t="shared" si="16"/>
        <v>0.5</v>
      </c>
      <c r="AL27" s="40">
        <f t="shared" si="16"/>
        <v>0</v>
      </c>
      <c r="AM27" s="40">
        <f t="shared" si="16"/>
        <v>0</v>
      </c>
      <c r="AN27" s="40">
        <f t="shared" si="16"/>
        <v>0</v>
      </c>
      <c r="AO27" s="40">
        <f t="shared" ref="AO27:BD30" si="17">IF($G27="",0,IF(AI27="werk",IF($G27&gt;$F27,IF(AND($F27&lt;AP$9,$G27&gt;AP$9),0.5,0),IF(OR($F27&lt;AP$9,$G27&gt;AP$9),0.5,0)),IF($G27&gt;$F27,IF(AND($F27&lt;AP$9,$G27&gt;AP$9),0.5,0),IF(OR($F27&lt;AP$9,$G27&gt;=AP$9),0.25,0))))</f>
        <v>0</v>
      </c>
      <c r="AP27" s="40">
        <f t="shared" si="17"/>
        <v>0</v>
      </c>
      <c r="AQ27" s="40">
        <f t="shared" si="17"/>
        <v>0</v>
      </c>
      <c r="AR27" s="40">
        <f t="shared" si="17"/>
        <v>0</v>
      </c>
      <c r="AS27" s="40">
        <f t="shared" si="17"/>
        <v>0</v>
      </c>
      <c r="AT27" s="40">
        <f t="shared" si="17"/>
        <v>0</v>
      </c>
      <c r="AU27" s="40">
        <f t="shared" si="17"/>
        <v>0</v>
      </c>
      <c r="AV27" s="40">
        <f t="shared" si="17"/>
        <v>0</v>
      </c>
      <c r="AW27" s="40">
        <f t="shared" si="17"/>
        <v>0</v>
      </c>
      <c r="AX27" s="40">
        <f t="shared" si="17"/>
        <v>0</v>
      </c>
      <c r="AY27" s="40">
        <f t="shared" si="17"/>
        <v>0</v>
      </c>
      <c r="AZ27" s="40">
        <f t="shared" si="17"/>
        <v>0</v>
      </c>
      <c r="BA27" s="40">
        <f t="shared" si="17"/>
        <v>0</v>
      </c>
      <c r="BB27" s="40">
        <f t="shared" si="17"/>
        <v>0</v>
      </c>
      <c r="BC27" s="40">
        <f t="shared" si="17"/>
        <v>0</v>
      </c>
      <c r="BD27" s="40">
        <f t="shared" si="17"/>
        <v>0</v>
      </c>
      <c r="BG27" s="41">
        <f t="shared" si="5"/>
        <v>0</v>
      </c>
      <c r="BH27" s="41">
        <f t="shared" si="6"/>
        <v>0</v>
      </c>
      <c r="BI27" s="41">
        <f t="shared" si="7"/>
        <v>0</v>
      </c>
      <c r="BJ27" s="41">
        <f t="shared" si="8"/>
        <v>0</v>
      </c>
      <c r="BK27" s="41">
        <f t="shared" si="9"/>
        <v>7.5</v>
      </c>
    </row>
    <row r="28" spans="1:63" x14ac:dyDescent="0.25">
      <c r="A28" s="42"/>
      <c r="B28" s="43"/>
      <c r="C28" s="43"/>
      <c r="D28" s="42"/>
      <c r="E28" s="42"/>
      <c r="F28" s="44"/>
      <c r="G28" s="44"/>
      <c r="H28" s="39">
        <f t="shared" si="10"/>
        <v>0</v>
      </c>
      <c r="I28" s="40">
        <f t="shared" si="15"/>
        <v>0</v>
      </c>
      <c r="J28" s="40">
        <f t="shared" si="15"/>
        <v>0</v>
      </c>
      <c r="K28" s="40">
        <f t="shared" si="15"/>
        <v>0</v>
      </c>
      <c r="L28" s="40">
        <f t="shared" si="15"/>
        <v>0</v>
      </c>
      <c r="M28" s="40">
        <f t="shared" si="15"/>
        <v>0</v>
      </c>
      <c r="N28" s="40">
        <f t="shared" si="15"/>
        <v>0</v>
      </c>
      <c r="O28" s="40">
        <f t="shared" si="15"/>
        <v>0</v>
      </c>
      <c r="P28" s="40">
        <f t="shared" si="15"/>
        <v>0</v>
      </c>
      <c r="Q28" s="40">
        <f t="shared" si="15"/>
        <v>0</v>
      </c>
      <c r="R28" s="40">
        <f t="shared" si="15"/>
        <v>0</v>
      </c>
      <c r="S28" s="40">
        <f t="shared" si="15"/>
        <v>0</v>
      </c>
      <c r="T28" s="40">
        <f t="shared" si="15"/>
        <v>0</v>
      </c>
      <c r="U28" s="40">
        <f t="shared" si="15"/>
        <v>0</v>
      </c>
      <c r="V28" s="40">
        <f t="shared" si="15"/>
        <v>0</v>
      </c>
      <c r="W28" s="40">
        <f t="shared" si="15"/>
        <v>0</v>
      </c>
      <c r="X28" s="40">
        <f t="shared" si="15"/>
        <v>0</v>
      </c>
      <c r="Y28" s="40">
        <f t="shared" si="16"/>
        <v>0</v>
      </c>
      <c r="Z28" s="40">
        <f t="shared" si="16"/>
        <v>0</v>
      </c>
      <c r="AA28" s="40">
        <f t="shared" si="16"/>
        <v>0</v>
      </c>
      <c r="AB28" s="40">
        <f t="shared" si="16"/>
        <v>0</v>
      </c>
      <c r="AC28" s="40">
        <f t="shared" si="16"/>
        <v>0</v>
      </c>
      <c r="AD28" s="40">
        <f t="shared" si="16"/>
        <v>0</v>
      </c>
      <c r="AE28" s="40">
        <f t="shared" si="16"/>
        <v>0</v>
      </c>
      <c r="AF28" s="40">
        <f t="shared" si="16"/>
        <v>0</v>
      </c>
      <c r="AG28" s="40">
        <f t="shared" si="16"/>
        <v>0</v>
      </c>
      <c r="AH28" s="40">
        <f t="shared" si="16"/>
        <v>0</v>
      </c>
      <c r="AI28" s="40">
        <f t="shared" si="16"/>
        <v>0</v>
      </c>
      <c r="AJ28" s="40">
        <f t="shared" si="16"/>
        <v>0</v>
      </c>
      <c r="AK28" s="40">
        <f t="shared" si="16"/>
        <v>0</v>
      </c>
      <c r="AL28" s="40">
        <f t="shared" si="16"/>
        <v>0</v>
      </c>
      <c r="AM28" s="40">
        <f t="shared" si="16"/>
        <v>0</v>
      </c>
      <c r="AN28" s="40">
        <f t="shared" si="16"/>
        <v>0</v>
      </c>
      <c r="AO28" s="40">
        <f t="shared" si="17"/>
        <v>0</v>
      </c>
      <c r="AP28" s="40">
        <f t="shared" si="17"/>
        <v>0</v>
      </c>
      <c r="AQ28" s="40">
        <f t="shared" si="17"/>
        <v>0</v>
      </c>
      <c r="AR28" s="40">
        <f t="shared" si="17"/>
        <v>0</v>
      </c>
      <c r="AS28" s="40">
        <f t="shared" si="17"/>
        <v>0</v>
      </c>
      <c r="AT28" s="40">
        <f t="shared" si="17"/>
        <v>0</v>
      </c>
      <c r="AU28" s="40">
        <f t="shared" si="17"/>
        <v>0</v>
      </c>
      <c r="AV28" s="40">
        <f t="shared" si="17"/>
        <v>0</v>
      </c>
      <c r="AW28" s="40">
        <f t="shared" si="17"/>
        <v>0</v>
      </c>
      <c r="AX28" s="40">
        <f t="shared" si="17"/>
        <v>0</v>
      </c>
      <c r="AY28" s="40">
        <f t="shared" si="17"/>
        <v>0</v>
      </c>
      <c r="AZ28" s="40">
        <f t="shared" si="17"/>
        <v>0</v>
      </c>
      <c r="BA28" s="40">
        <f t="shared" si="17"/>
        <v>0</v>
      </c>
      <c r="BB28" s="40">
        <f t="shared" si="17"/>
        <v>0</v>
      </c>
      <c r="BC28" s="40">
        <f t="shared" si="17"/>
        <v>0</v>
      </c>
      <c r="BD28" s="40">
        <f t="shared" si="17"/>
        <v>0</v>
      </c>
      <c r="BG28" s="41">
        <f t="shared" si="5"/>
        <v>0</v>
      </c>
      <c r="BH28" s="41">
        <f t="shared" si="6"/>
        <v>0</v>
      </c>
      <c r="BI28" s="41">
        <f t="shared" si="7"/>
        <v>0</v>
      </c>
      <c r="BJ28" s="41">
        <f t="shared" si="8"/>
        <v>0</v>
      </c>
      <c r="BK28" s="41">
        <f t="shared" si="9"/>
        <v>0</v>
      </c>
    </row>
    <row r="29" spans="1:63" x14ac:dyDescent="0.25">
      <c r="A29" s="42">
        <v>52</v>
      </c>
      <c r="B29" s="43" t="s">
        <v>179</v>
      </c>
      <c r="C29" s="43" t="s">
        <v>163</v>
      </c>
      <c r="D29" s="42" t="s">
        <v>164</v>
      </c>
      <c r="E29" s="42">
        <v>2</v>
      </c>
      <c r="F29" s="44">
        <v>0.375000000000003</v>
      </c>
      <c r="G29" s="44">
        <v>0.70833333333334803</v>
      </c>
      <c r="H29" s="39">
        <f t="shared" si="10"/>
        <v>16</v>
      </c>
      <c r="I29" s="40">
        <f t="shared" si="15"/>
        <v>0</v>
      </c>
      <c r="J29" s="40">
        <f t="shared" si="15"/>
        <v>0</v>
      </c>
      <c r="K29" s="40">
        <f t="shared" si="15"/>
        <v>0</v>
      </c>
      <c r="L29" s="40">
        <f t="shared" si="15"/>
        <v>0</v>
      </c>
      <c r="M29" s="40">
        <f t="shared" si="15"/>
        <v>0</v>
      </c>
      <c r="N29" s="40">
        <f t="shared" si="15"/>
        <v>0</v>
      </c>
      <c r="O29" s="40">
        <f t="shared" si="15"/>
        <v>0</v>
      </c>
      <c r="P29" s="40">
        <f t="shared" si="15"/>
        <v>0</v>
      </c>
      <c r="Q29" s="40">
        <f t="shared" si="15"/>
        <v>0</v>
      </c>
      <c r="R29" s="40">
        <f t="shared" si="15"/>
        <v>0</v>
      </c>
      <c r="S29" s="40">
        <f t="shared" si="15"/>
        <v>0</v>
      </c>
      <c r="T29" s="40">
        <f t="shared" si="15"/>
        <v>0</v>
      </c>
      <c r="U29" s="40">
        <f t="shared" si="15"/>
        <v>0</v>
      </c>
      <c r="V29" s="40">
        <f t="shared" si="15"/>
        <v>0</v>
      </c>
      <c r="W29" s="40">
        <f t="shared" si="15"/>
        <v>0</v>
      </c>
      <c r="X29" s="40">
        <f t="shared" si="15"/>
        <v>0</v>
      </c>
      <c r="Y29" s="40">
        <f t="shared" si="16"/>
        <v>0</v>
      </c>
      <c r="Z29" s="40">
        <f t="shared" si="16"/>
        <v>0</v>
      </c>
      <c r="AA29" s="40">
        <f t="shared" si="16"/>
        <v>0.5</v>
      </c>
      <c r="AB29" s="40">
        <f t="shared" si="16"/>
        <v>0.5</v>
      </c>
      <c r="AC29" s="40">
        <f t="shared" si="16"/>
        <v>0.5</v>
      </c>
      <c r="AD29" s="40">
        <f t="shared" si="16"/>
        <v>0.5</v>
      </c>
      <c r="AE29" s="40">
        <f t="shared" si="16"/>
        <v>0.5</v>
      </c>
      <c r="AF29" s="40">
        <f t="shared" si="16"/>
        <v>0.5</v>
      </c>
      <c r="AG29" s="40">
        <f t="shared" si="16"/>
        <v>0.5</v>
      </c>
      <c r="AH29" s="40">
        <f t="shared" si="16"/>
        <v>0.5</v>
      </c>
      <c r="AI29" s="40">
        <f t="shared" si="16"/>
        <v>0.5</v>
      </c>
      <c r="AJ29" s="40">
        <f t="shared" si="16"/>
        <v>0.5</v>
      </c>
      <c r="AK29" s="40">
        <f t="shared" si="16"/>
        <v>0.5</v>
      </c>
      <c r="AL29" s="40">
        <f t="shared" si="16"/>
        <v>0.5</v>
      </c>
      <c r="AM29" s="40">
        <f t="shared" si="16"/>
        <v>0.5</v>
      </c>
      <c r="AN29" s="40">
        <f t="shared" si="16"/>
        <v>0.5</v>
      </c>
      <c r="AO29" s="40">
        <f t="shared" si="17"/>
        <v>0.5</v>
      </c>
      <c r="AP29" s="40">
        <f t="shared" si="17"/>
        <v>0.5</v>
      </c>
      <c r="AQ29" s="40">
        <f t="shared" si="17"/>
        <v>0</v>
      </c>
      <c r="AR29" s="40">
        <f t="shared" si="17"/>
        <v>0</v>
      </c>
      <c r="AS29" s="40">
        <f t="shared" si="17"/>
        <v>0</v>
      </c>
      <c r="AT29" s="40">
        <f t="shared" si="17"/>
        <v>0</v>
      </c>
      <c r="AU29" s="40">
        <f t="shared" si="17"/>
        <v>0</v>
      </c>
      <c r="AV29" s="40">
        <f t="shared" si="17"/>
        <v>0</v>
      </c>
      <c r="AW29" s="40">
        <f t="shared" si="17"/>
        <v>0</v>
      </c>
      <c r="AX29" s="40">
        <f t="shared" si="17"/>
        <v>0</v>
      </c>
      <c r="AY29" s="40">
        <f t="shared" si="17"/>
        <v>0</v>
      </c>
      <c r="AZ29" s="40">
        <f t="shared" si="17"/>
        <v>0</v>
      </c>
      <c r="BA29" s="40">
        <f t="shared" si="17"/>
        <v>0</v>
      </c>
      <c r="BB29" s="40">
        <f t="shared" si="17"/>
        <v>0</v>
      </c>
      <c r="BC29" s="40">
        <f t="shared" si="17"/>
        <v>0</v>
      </c>
      <c r="BD29" s="40">
        <f t="shared" si="17"/>
        <v>0</v>
      </c>
      <c r="BG29" s="41">
        <f t="shared" si="5"/>
        <v>0</v>
      </c>
      <c r="BH29" s="41">
        <f t="shared" si="6"/>
        <v>0</v>
      </c>
      <c r="BI29" s="41">
        <f t="shared" si="7"/>
        <v>0</v>
      </c>
      <c r="BJ29" s="41">
        <f t="shared" si="8"/>
        <v>0</v>
      </c>
      <c r="BK29" s="41">
        <f t="shared" si="9"/>
        <v>0</v>
      </c>
    </row>
    <row r="30" spans="1:63" x14ac:dyDescent="0.25">
      <c r="A30" s="42">
        <f t="shared" si="14"/>
        <v>52</v>
      </c>
      <c r="B30" s="43" t="s">
        <v>180</v>
      </c>
      <c r="C30" s="43" t="s">
        <v>163</v>
      </c>
      <c r="D30" s="42" t="s">
        <v>164</v>
      </c>
      <c r="E30" s="42">
        <v>1</v>
      </c>
      <c r="F30" s="44">
        <v>0.39583333333333698</v>
      </c>
      <c r="G30" s="44">
        <v>0.52083333333334103</v>
      </c>
      <c r="H30" s="39">
        <f t="shared" si="10"/>
        <v>3</v>
      </c>
      <c r="I30" s="40">
        <f t="shared" si="15"/>
        <v>0</v>
      </c>
      <c r="J30" s="40">
        <f t="shared" si="15"/>
        <v>0</v>
      </c>
      <c r="K30" s="40">
        <f t="shared" si="15"/>
        <v>0</v>
      </c>
      <c r="L30" s="40">
        <f t="shared" si="15"/>
        <v>0</v>
      </c>
      <c r="M30" s="40">
        <f t="shared" si="15"/>
        <v>0</v>
      </c>
      <c r="N30" s="40">
        <f t="shared" si="15"/>
        <v>0</v>
      </c>
      <c r="O30" s="40">
        <f t="shared" si="15"/>
        <v>0</v>
      </c>
      <c r="P30" s="40">
        <f t="shared" si="15"/>
        <v>0</v>
      </c>
      <c r="Q30" s="40">
        <f t="shared" si="15"/>
        <v>0</v>
      </c>
      <c r="R30" s="40">
        <f t="shared" si="15"/>
        <v>0</v>
      </c>
      <c r="S30" s="40">
        <f t="shared" si="15"/>
        <v>0</v>
      </c>
      <c r="T30" s="40">
        <f t="shared" si="15"/>
        <v>0</v>
      </c>
      <c r="U30" s="40">
        <f t="shared" si="15"/>
        <v>0</v>
      </c>
      <c r="V30" s="40">
        <f t="shared" si="15"/>
        <v>0</v>
      </c>
      <c r="W30" s="40">
        <f t="shared" si="15"/>
        <v>0</v>
      </c>
      <c r="X30" s="40">
        <f t="shared" si="15"/>
        <v>0</v>
      </c>
      <c r="Y30" s="40">
        <f t="shared" si="16"/>
        <v>0</v>
      </c>
      <c r="Z30" s="40">
        <f t="shared" si="16"/>
        <v>0</v>
      </c>
      <c r="AA30" s="40">
        <f t="shared" si="16"/>
        <v>0</v>
      </c>
      <c r="AB30" s="40">
        <f t="shared" si="16"/>
        <v>0.5</v>
      </c>
      <c r="AC30" s="40">
        <f t="shared" si="16"/>
        <v>0.5</v>
      </c>
      <c r="AD30" s="40">
        <f t="shared" si="16"/>
        <v>0.5</v>
      </c>
      <c r="AE30" s="40">
        <f t="shared" si="16"/>
        <v>0.5</v>
      </c>
      <c r="AF30" s="40">
        <f t="shared" si="16"/>
        <v>0.5</v>
      </c>
      <c r="AG30" s="40">
        <f t="shared" si="16"/>
        <v>0.5</v>
      </c>
      <c r="AH30" s="40">
        <f t="shared" si="16"/>
        <v>0</v>
      </c>
      <c r="AI30" s="40">
        <f t="shared" si="16"/>
        <v>0</v>
      </c>
      <c r="AJ30" s="40">
        <f t="shared" si="16"/>
        <v>0</v>
      </c>
      <c r="AK30" s="40">
        <f t="shared" si="16"/>
        <v>0</v>
      </c>
      <c r="AL30" s="40">
        <f t="shared" si="16"/>
        <v>0</v>
      </c>
      <c r="AM30" s="40">
        <f t="shared" si="16"/>
        <v>0</v>
      </c>
      <c r="AN30" s="40">
        <f t="shared" si="16"/>
        <v>0</v>
      </c>
      <c r="AO30" s="40">
        <f t="shared" si="17"/>
        <v>0</v>
      </c>
      <c r="AP30" s="40">
        <f t="shared" si="17"/>
        <v>0</v>
      </c>
      <c r="AQ30" s="40">
        <f t="shared" si="17"/>
        <v>0</v>
      </c>
      <c r="AR30" s="40">
        <f t="shared" si="17"/>
        <v>0</v>
      </c>
      <c r="AS30" s="40">
        <f t="shared" si="17"/>
        <v>0</v>
      </c>
      <c r="AT30" s="40">
        <f t="shared" si="17"/>
        <v>0</v>
      </c>
      <c r="AU30" s="40">
        <f t="shared" si="17"/>
        <v>0</v>
      </c>
      <c r="AV30" s="40">
        <f t="shared" si="17"/>
        <v>0</v>
      </c>
      <c r="AW30" s="40">
        <f t="shared" si="17"/>
        <v>0</v>
      </c>
      <c r="AX30" s="40">
        <f t="shared" si="17"/>
        <v>0</v>
      </c>
      <c r="AY30" s="40">
        <f t="shared" si="17"/>
        <v>0</v>
      </c>
      <c r="AZ30" s="40">
        <f t="shared" si="17"/>
        <v>0</v>
      </c>
      <c r="BA30" s="40">
        <f t="shared" si="17"/>
        <v>0</v>
      </c>
      <c r="BB30" s="40">
        <f t="shared" si="17"/>
        <v>0</v>
      </c>
      <c r="BC30" s="40">
        <f t="shared" si="17"/>
        <v>0</v>
      </c>
      <c r="BD30" s="40">
        <f t="shared" si="17"/>
        <v>0</v>
      </c>
      <c r="BG30" s="41">
        <f t="shared" si="5"/>
        <v>0</v>
      </c>
      <c r="BH30" s="41">
        <f t="shared" si="6"/>
        <v>0</v>
      </c>
      <c r="BI30" s="41">
        <f t="shared" si="7"/>
        <v>0</v>
      </c>
      <c r="BJ30" s="41">
        <f t="shared" si="8"/>
        <v>0</v>
      </c>
      <c r="BK30" s="41">
        <f t="shared" si="9"/>
        <v>0</v>
      </c>
    </row>
    <row r="31" spans="1:63" x14ac:dyDescent="0.25">
      <c r="A31" s="45"/>
      <c r="B31" s="46"/>
      <c r="C31" s="46"/>
      <c r="D31" s="46"/>
      <c r="E31" s="46"/>
      <c r="F31" s="46"/>
      <c r="G31" s="46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G31" s="48">
        <f t="shared" si="5"/>
        <v>0</v>
      </c>
      <c r="BH31" s="48">
        <f t="shared" si="6"/>
        <v>0</v>
      </c>
      <c r="BI31" s="48">
        <f t="shared" si="7"/>
        <v>0</v>
      </c>
      <c r="BJ31" s="48">
        <f t="shared" si="8"/>
        <v>0</v>
      </c>
      <c r="BK31" s="48">
        <f t="shared" si="9"/>
        <v>0</v>
      </c>
    </row>
    <row r="32" spans="1:63" x14ac:dyDescent="0.25">
      <c r="H32" s="1"/>
    </row>
    <row r="33" spans="1:63" x14ac:dyDescent="0.25">
      <c r="H33" s="1"/>
    </row>
    <row r="34" spans="1:63" ht="15.75" x14ac:dyDescent="0.25">
      <c r="A34" s="19" t="s">
        <v>145</v>
      </c>
      <c r="B34" s="22"/>
      <c r="C34" s="27"/>
      <c r="G34" s="23" t="s">
        <v>142</v>
      </c>
      <c r="H34" s="28">
        <f>SUM(H38:H65)</f>
        <v>0</v>
      </c>
      <c r="BF34" s="23" t="s">
        <v>142</v>
      </c>
      <c r="BG34" s="29">
        <f t="shared" ref="BG34:BK34" si="18">SUBTOTAL(9,BG39:BG65)</f>
        <v>0</v>
      </c>
      <c r="BH34" s="29">
        <f t="shared" si="18"/>
        <v>0</v>
      </c>
      <c r="BI34" s="29">
        <f t="shared" si="18"/>
        <v>0</v>
      </c>
      <c r="BJ34" s="29">
        <f t="shared" si="18"/>
        <v>0</v>
      </c>
      <c r="BK34" s="29">
        <f t="shared" si="18"/>
        <v>0</v>
      </c>
    </row>
    <row r="35" spans="1:63" ht="15.75" x14ac:dyDescent="0.25">
      <c r="A35" s="19" t="s">
        <v>147</v>
      </c>
      <c r="B35" s="30"/>
      <c r="C35" s="27"/>
      <c r="G35" s="23" t="s">
        <v>143</v>
      </c>
      <c r="H35" s="31">
        <f>H34/36/Norm_Effectief</f>
        <v>0</v>
      </c>
      <c r="BF35" s="10" t="s">
        <v>144</v>
      </c>
      <c r="BG35" s="20">
        <v>0.22</v>
      </c>
      <c r="BH35" s="20">
        <v>0.44</v>
      </c>
      <c r="BI35" s="20">
        <v>0.38</v>
      </c>
      <c r="BJ35" s="20">
        <v>0.49</v>
      </c>
      <c r="BK35" s="20">
        <v>0.6</v>
      </c>
    </row>
    <row r="36" spans="1:63" ht="15.75" x14ac:dyDescent="0.25">
      <c r="B36" s="27"/>
      <c r="C36" s="27"/>
      <c r="G36" s="23" t="s">
        <v>144</v>
      </c>
      <c r="H36" s="32" t="e">
        <f>SUM(BG36:BK36)/(H34/Norm_Effectief)</f>
        <v>#DIV/0!</v>
      </c>
      <c r="BF36" s="23" t="s">
        <v>148</v>
      </c>
      <c r="BG36" s="33">
        <f t="shared" ref="BG36:BK36" si="19">BG34*BG35</f>
        <v>0</v>
      </c>
      <c r="BH36" s="33">
        <f t="shared" si="19"/>
        <v>0</v>
      </c>
      <c r="BI36" s="33">
        <f t="shared" si="19"/>
        <v>0</v>
      </c>
      <c r="BJ36" s="33">
        <f t="shared" si="19"/>
        <v>0</v>
      </c>
      <c r="BK36" s="33">
        <f t="shared" si="19"/>
        <v>0</v>
      </c>
    </row>
    <row r="37" spans="1:63" ht="45" x14ac:dyDescent="0.25">
      <c r="A37" s="34" t="s">
        <v>149</v>
      </c>
      <c r="B37" s="35" t="s">
        <v>150</v>
      </c>
      <c r="C37" s="35"/>
      <c r="D37" s="34" t="s">
        <v>152</v>
      </c>
      <c r="E37" s="34" t="s">
        <v>153</v>
      </c>
      <c r="F37" s="35" t="s">
        <v>154</v>
      </c>
      <c r="G37" s="35" t="s">
        <v>155</v>
      </c>
      <c r="H37" s="35" t="s">
        <v>156</v>
      </c>
      <c r="I37" s="36">
        <v>0</v>
      </c>
      <c r="J37" s="36">
        <v>2.0833333333333332E-2</v>
      </c>
      <c r="K37" s="36">
        <v>4.1666666666666699E-2</v>
      </c>
      <c r="L37" s="36">
        <v>6.25E-2</v>
      </c>
      <c r="M37" s="36">
        <v>8.3333333333333301E-2</v>
      </c>
      <c r="N37" s="36">
        <v>0.104166666666667</v>
      </c>
      <c r="O37" s="36">
        <v>0.125</v>
      </c>
      <c r="P37" s="36">
        <v>0.14583333333333301</v>
      </c>
      <c r="Q37" s="36">
        <v>0.16666666666666699</v>
      </c>
      <c r="R37" s="36">
        <v>0.1875</v>
      </c>
      <c r="S37" s="36">
        <v>0.20833333333333301</v>
      </c>
      <c r="T37" s="36">
        <v>0.22916666666666699</v>
      </c>
      <c r="U37" s="36">
        <v>0.25</v>
      </c>
      <c r="V37" s="36">
        <v>0.27083333333333298</v>
      </c>
      <c r="W37" s="36">
        <v>0.29166666666666702</v>
      </c>
      <c r="X37" s="36">
        <v>0.3125</v>
      </c>
      <c r="Y37" s="36">
        <v>0.33333333333333298</v>
      </c>
      <c r="Z37" s="36">
        <v>0.35416666666666602</v>
      </c>
      <c r="AA37" s="36">
        <v>0.374999999999999</v>
      </c>
      <c r="AB37" s="36">
        <v>0.39583333333333198</v>
      </c>
      <c r="AC37" s="36">
        <v>0.41666666666666502</v>
      </c>
      <c r="AD37" s="36">
        <v>0.437499999999998</v>
      </c>
      <c r="AE37" s="36">
        <v>0.45833333333333098</v>
      </c>
      <c r="AF37" s="36">
        <v>0.47916666666666402</v>
      </c>
      <c r="AG37" s="36">
        <v>0.499999999999997</v>
      </c>
      <c r="AH37" s="36">
        <v>0.52083333333333004</v>
      </c>
      <c r="AI37" s="36">
        <v>0.54166666666666297</v>
      </c>
      <c r="AJ37" s="36">
        <v>0.562499999999996</v>
      </c>
      <c r="AK37" s="36">
        <v>0.58333333333332904</v>
      </c>
      <c r="AL37" s="36">
        <v>0.60416666666666197</v>
      </c>
      <c r="AM37" s="36">
        <v>0.624999999999995</v>
      </c>
      <c r="AN37" s="36">
        <v>0.64583333333332804</v>
      </c>
      <c r="AO37" s="36">
        <v>0.66666666666666097</v>
      </c>
      <c r="AP37" s="36">
        <v>0.687499999999994</v>
      </c>
      <c r="AQ37" s="36">
        <v>0.70833333333332704</v>
      </c>
      <c r="AR37" s="36">
        <v>0.72916666666665997</v>
      </c>
      <c r="AS37" s="36">
        <v>0.74999999999999301</v>
      </c>
      <c r="AT37" s="36">
        <v>0.77083333333332604</v>
      </c>
      <c r="AU37" s="36">
        <v>0.79166666666665897</v>
      </c>
      <c r="AV37" s="36">
        <v>0.81249999999999201</v>
      </c>
      <c r="AW37" s="36">
        <v>0.83333333333332504</v>
      </c>
      <c r="AX37" s="36">
        <v>0.85416666666665797</v>
      </c>
      <c r="AY37" s="36">
        <v>0.87499999999999001</v>
      </c>
      <c r="AZ37" s="36">
        <v>0.89583333333332305</v>
      </c>
      <c r="BA37" s="36">
        <v>0.91666666666665697</v>
      </c>
      <c r="BB37" s="36">
        <v>0.93749999999998901</v>
      </c>
      <c r="BC37" s="36">
        <v>0.95833333333332205</v>
      </c>
      <c r="BD37" s="36">
        <v>0.97916666666665497</v>
      </c>
      <c r="BE37" s="36">
        <v>0.99999999999998801</v>
      </c>
      <c r="BG37" s="37" t="s">
        <v>157</v>
      </c>
      <c r="BH37" s="37" t="s">
        <v>158</v>
      </c>
      <c r="BI37" s="37" t="s">
        <v>159</v>
      </c>
      <c r="BJ37" s="37" t="s">
        <v>160</v>
      </c>
      <c r="BK37" s="37" t="s">
        <v>161</v>
      </c>
    </row>
    <row r="38" spans="1:63" x14ac:dyDescent="0.25">
      <c r="D38" s="19"/>
      <c r="E38" s="19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G38" s="41"/>
      <c r="BH38" s="41"/>
      <c r="BI38" s="41"/>
      <c r="BJ38" s="41"/>
      <c r="BK38" s="41"/>
    </row>
    <row r="39" spans="1:63" x14ac:dyDescent="0.25">
      <c r="A39" s="42"/>
      <c r="B39" s="43"/>
      <c r="C39" s="43"/>
      <c r="D39" s="42"/>
      <c r="E39" s="42"/>
      <c r="F39" s="44"/>
      <c r="G39" s="44"/>
      <c r="H39" s="39">
        <f>IF(C39="werk",IF(G39&gt;F39,E39*((HOUR(G39)*60+MINUTE(G39))-(HOUR(F39)*60+MINUTE(F39)))/60,E39*(1440-(HOUR(F39)*60+MINUTE(F39))+(HOUR(G39)*60+MINUTE(G39)))/60),IF(G39&gt;F39,E39*((HOUR(G39)*60+MINUTE(G39))-(HOUR(F39)*60+MINUTE(F39)))/60,E39*(1440-(HOUR(F39)*60+MINUTE(F39))+(HOUR(G39)*60+MINUTE(G39)))/60)*50%)</f>
        <v>0</v>
      </c>
      <c r="I39" s="40">
        <f t="shared" ref="I39:X60" si="20">IF($G39="",0,IF(C39="werk",IF($G39&gt;$F39,IF(AND($F39&lt;J$9,$G39&gt;J$9),0.5,0),IF(OR($F39&lt;J$9,$G39&gt;J$9),0.5,0)),IF($G39&gt;$F39,IF(AND($F39&lt;J$9,$G39&gt;J$9),0.5,0),IF(OR($F39&lt;J$9,$G39&gt;=J$9),0.25,0))))</f>
        <v>0</v>
      </c>
      <c r="J39" s="40">
        <f t="shared" si="20"/>
        <v>0</v>
      </c>
      <c r="K39" s="40">
        <f t="shared" si="20"/>
        <v>0</v>
      </c>
      <c r="L39" s="40">
        <f t="shared" si="20"/>
        <v>0</v>
      </c>
      <c r="M39" s="40">
        <f>IF($G39="",0,IF(G39="werk",IF($G39&gt;$F39,IF(AND($F39&lt;N$9,$G39&gt;N$9),0.5,0),IF(OR($F39&lt;N$9,$G39&gt;N$9),0.5,0)),IF($G39&gt;$F39,IF(AND($F39&lt;N$9,$G39&gt;N$9),0.5,0),IF(OR($F39&lt;N$9,$G39&gt;=N$9),0.25,0))))</f>
        <v>0</v>
      </c>
      <c r="N39" s="40">
        <f t="shared" ref="N39:AC60" si="21">IF($G39="",0,IF(H39="werk",IF($G39&gt;$F39,IF(AND($F39&lt;O$9,$G39&gt;O$9),0.5,0),IF(OR($F39&lt;O$9,$G39&gt;O$9),0.5,0)),IF($G39&gt;$F39,IF(AND($F39&lt;O$9,$G39&gt;O$9),0.5,0),IF(OR($F39&lt;O$9,$G39&gt;=O$9),0.25,0))))</f>
        <v>0</v>
      </c>
      <c r="O39" s="40">
        <f t="shared" si="21"/>
        <v>0</v>
      </c>
      <c r="P39" s="40">
        <f t="shared" si="21"/>
        <v>0</v>
      </c>
      <c r="Q39" s="40">
        <f t="shared" si="21"/>
        <v>0</v>
      </c>
      <c r="R39" s="40">
        <f t="shared" si="21"/>
        <v>0</v>
      </c>
      <c r="S39" s="40">
        <f t="shared" si="21"/>
        <v>0</v>
      </c>
      <c r="T39" s="40">
        <f t="shared" si="21"/>
        <v>0</v>
      </c>
      <c r="U39" s="40">
        <f t="shared" si="21"/>
        <v>0</v>
      </c>
      <c r="V39" s="40">
        <f t="shared" si="21"/>
        <v>0</v>
      </c>
      <c r="W39" s="40">
        <f t="shared" si="21"/>
        <v>0</v>
      </c>
      <c r="X39" s="40">
        <f t="shared" si="21"/>
        <v>0</v>
      </c>
      <c r="Y39" s="40">
        <f t="shared" si="21"/>
        <v>0</v>
      </c>
      <c r="Z39" s="40">
        <f t="shared" si="21"/>
        <v>0</v>
      </c>
      <c r="AA39" s="40">
        <f t="shared" si="21"/>
        <v>0</v>
      </c>
      <c r="AB39" s="40">
        <f t="shared" si="21"/>
        <v>0</v>
      </c>
      <c r="AC39" s="40">
        <f t="shared" si="21"/>
        <v>0</v>
      </c>
      <c r="AD39" s="40">
        <f t="shared" ref="AD39:AS60" si="22">IF($G39="",0,IF(X39="werk",IF($G39&gt;$F39,IF(AND($F39&lt;AE$9,$G39&gt;AE$9),0.5,0),IF(OR($F39&lt;AE$9,$G39&gt;AE$9),0.5,0)),IF($G39&gt;$F39,IF(AND($F39&lt;AE$9,$G39&gt;AE$9),0.5,0),IF(OR($F39&lt;AE$9,$G39&gt;=AE$9),0.25,0))))</f>
        <v>0</v>
      </c>
      <c r="AE39" s="40">
        <f t="shared" si="22"/>
        <v>0</v>
      </c>
      <c r="AF39" s="40">
        <f t="shared" si="22"/>
        <v>0</v>
      </c>
      <c r="AG39" s="40">
        <f t="shared" si="22"/>
        <v>0</v>
      </c>
      <c r="AH39" s="40">
        <f t="shared" si="22"/>
        <v>0</v>
      </c>
      <c r="AI39" s="40">
        <f t="shared" si="22"/>
        <v>0</v>
      </c>
      <c r="AJ39" s="40">
        <f t="shared" si="22"/>
        <v>0</v>
      </c>
      <c r="AK39" s="40">
        <f t="shared" si="22"/>
        <v>0</v>
      </c>
      <c r="AL39" s="40">
        <f t="shared" si="22"/>
        <v>0</v>
      </c>
      <c r="AM39" s="40">
        <f t="shared" si="22"/>
        <v>0</v>
      </c>
      <c r="AN39" s="40">
        <f t="shared" si="22"/>
        <v>0</v>
      </c>
      <c r="AO39" s="40">
        <f t="shared" si="22"/>
        <v>0</v>
      </c>
      <c r="AP39" s="40">
        <f t="shared" si="22"/>
        <v>0</v>
      </c>
      <c r="AQ39" s="40">
        <f t="shared" si="22"/>
        <v>0</v>
      </c>
      <c r="AR39" s="40">
        <f t="shared" si="22"/>
        <v>0</v>
      </c>
      <c r="AS39" s="40">
        <f t="shared" si="22"/>
        <v>0</v>
      </c>
      <c r="AT39" s="40">
        <f t="shared" ref="AT39:BD60" si="23">IF($G39="",0,IF(AN39="werk",IF($G39&gt;$F39,IF(AND($F39&lt;AU$9,$G39&gt;AU$9),0.5,0),IF(OR($F39&lt;AU$9,$G39&gt;AU$9),0.5,0)),IF($G39&gt;$F39,IF(AND($F39&lt;AU$9,$G39&gt;AU$9),0.5,0),IF(OR($F39&lt;AU$9,$G39&gt;=AU$9),0.25,0))))</f>
        <v>0</v>
      </c>
      <c r="AU39" s="40">
        <f t="shared" si="23"/>
        <v>0</v>
      </c>
      <c r="AV39" s="40">
        <f t="shared" si="23"/>
        <v>0</v>
      </c>
      <c r="AW39" s="40">
        <f t="shared" si="23"/>
        <v>0</v>
      </c>
      <c r="AX39" s="40">
        <f t="shared" si="23"/>
        <v>0</v>
      </c>
      <c r="AY39" s="40">
        <f t="shared" si="23"/>
        <v>0</v>
      </c>
      <c r="AZ39" s="40">
        <f t="shared" si="23"/>
        <v>0</v>
      </c>
      <c r="BA39" s="40">
        <f t="shared" si="23"/>
        <v>0</v>
      </c>
      <c r="BB39" s="40">
        <f t="shared" si="23"/>
        <v>0</v>
      </c>
      <c r="BC39" s="40">
        <f t="shared" si="23"/>
        <v>0</v>
      </c>
      <c r="BD39" s="40">
        <f t="shared" si="23"/>
        <v>0</v>
      </c>
      <c r="BG39" s="41">
        <f>IF(AND($C39="werk",$D39="weekdag"),SUM($U39:$V39,$AW39:$AZ39),0)*$E39</f>
        <v>0</v>
      </c>
      <c r="BH39" s="41">
        <f>IF(AND($C39="werk",$D39="weekdag"),SUM($I39:$T39,$BA39:$BD39),0)*$E39</f>
        <v>0</v>
      </c>
      <c r="BI39" s="41">
        <f>IF(AND($C39="werk",$D39="zaterdag"),SUM($U39:$X39,$AG39:$AZ39),0)*$E39</f>
        <v>0</v>
      </c>
      <c r="BJ39" s="41">
        <f>IF(AND($C39="werk",$D39="zaterdag"),SUM($I39:$T39,$BA39:$BD39),0)*$E39</f>
        <v>0</v>
      </c>
      <c r="BK39" s="41">
        <f>IF(AND($C39="werk",$D39="zondag"),SUM($I39:$BD39),0)*$E39</f>
        <v>0</v>
      </c>
    </row>
    <row r="40" spans="1:63" x14ac:dyDescent="0.25">
      <c r="A40" s="42"/>
      <c r="B40" s="43"/>
      <c r="C40" s="43"/>
      <c r="D40" s="42"/>
      <c r="E40" s="42"/>
      <c r="F40" s="44"/>
      <c r="G40" s="44"/>
      <c r="H40" s="39">
        <f t="shared" ref="H40:H64" si="24">IF(C40="werk",IF(G40&gt;F40,E40*((HOUR(G40)*60+MINUTE(G40))-(HOUR(F40)*60+MINUTE(F40)))/60,E40*(1440-(HOUR(F40)*60+MINUTE(F40))+(HOUR(G40)*60+MINUTE(G40)))/60),IF(G40&gt;F40,E40*((HOUR(G40)*60+MINUTE(G40))-(HOUR(F40)*60+MINUTE(F40)))/60,E40*(1440-(HOUR(F40)*60+MINUTE(F40))+(HOUR(G40)*60+MINUTE(G40)))/60)*50%)</f>
        <v>0</v>
      </c>
      <c r="I40" s="40">
        <f t="shared" si="20"/>
        <v>0</v>
      </c>
      <c r="J40" s="40">
        <f t="shared" si="20"/>
        <v>0</v>
      </c>
      <c r="K40" s="40">
        <f t="shared" si="20"/>
        <v>0</v>
      </c>
      <c r="L40" s="40">
        <f t="shared" si="20"/>
        <v>0</v>
      </c>
      <c r="M40" s="40">
        <f t="shared" si="20"/>
        <v>0</v>
      </c>
      <c r="N40" s="40">
        <f t="shared" si="21"/>
        <v>0</v>
      </c>
      <c r="O40" s="40">
        <f t="shared" si="21"/>
        <v>0</v>
      </c>
      <c r="P40" s="40">
        <f t="shared" si="21"/>
        <v>0</v>
      </c>
      <c r="Q40" s="40">
        <f t="shared" si="21"/>
        <v>0</v>
      </c>
      <c r="R40" s="40">
        <f t="shared" si="21"/>
        <v>0</v>
      </c>
      <c r="S40" s="40">
        <f t="shared" si="21"/>
        <v>0</v>
      </c>
      <c r="T40" s="40">
        <f t="shared" si="21"/>
        <v>0</v>
      </c>
      <c r="U40" s="40">
        <f t="shared" si="21"/>
        <v>0</v>
      </c>
      <c r="V40" s="40">
        <f t="shared" si="21"/>
        <v>0</v>
      </c>
      <c r="W40" s="40">
        <f t="shared" si="21"/>
        <v>0</v>
      </c>
      <c r="X40" s="40">
        <f t="shared" si="21"/>
        <v>0</v>
      </c>
      <c r="Y40" s="40">
        <f t="shared" si="21"/>
        <v>0</v>
      </c>
      <c r="Z40" s="40">
        <f t="shared" si="21"/>
        <v>0</v>
      </c>
      <c r="AA40" s="40">
        <f t="shared" si="21"/>
        <v>0</v>
      </c>
      <c r="AB40" s="40">
        <f t="shared" si="21"/>
        <v>0</v>
      </c>
      <c r="AC40" s="40">
        <f t="shared" si="21"/>
        <v>0</v>
      </c>
      <c r="AD40" s="40">
        <f t="shared" si="22"/>
        <v>0</v>
      </c>
      <c r="AE40" s="40">
        <f t="shared" si="22"/>
        <v>0</v>
      </c>
      <c r="AF40" s="40">
        <f t="shared" si="22"/>
        <v>0</v>
      </c>
      <c r="AG40" s="40">
        <f t="shared" si="22"/>
        <v>0</v>
      </c>
      <c r="AH40" s="40">
        <f t="shared" si="22"/>
        <v>0</v>
      </c>
      <c r="AI40" s="40">
        <f t="shared" si="22"/>
        <v>0</v>
      </c>
      <c r="AJ40" s="40">
        <f t="shared" si="22"/>
        <v>0</v>
      </c>
      <c r="AK40" s="40">
        <f t="shared" si="22"/>
        <v>0</v>
      </c>
      <c r="AL40" s="40">
        <f t="shared" si="22"/>
        <v>0</v>
      </c>
      <c r="AM40" s="40">
        <f t="shared" si="22"/>
        <v>0</v>
      </c>
      <c r="AN40" s="40">
        <f t="shared" si="22"/>
        <v>0</v>
      </c>
      <c r="AO40" s="40">
        <f t="shared" si="22"/>
        <v>0</v>
      </c>
      <c r="AP40" s="40">
        <f t="shared" si="22"/>
        <v>0</v>
      </c>
      <c r="AQ40" s="40">
        <f t="shared" si="22"/>
        <v>0</v>
      </c>
      <c r="AR40" s="40">
        <f t="shared" si="22"/>
        <v>0</v>
      </c>
      <c r="AS40" s="40">
        <f t="shared" si="22"/>
        <v>0</v>
      </c>
      <c r="AT40" s="40">
        <f t="shared" si="23"/>
        <v>0</v>
      </c>
      <c r="AU40" s="40">
        <f t="shared" si="23"/>
        <v>0</v>
      </c>
      <c r="AV40" s="40">
        <f t="shared" si="23"/>
        <v>0</v>
      </c>
      <c r="AW40" s="40">
        <f t="shared" si="23"/>
        <v>0</v>
      </c>
      <c r="AX40" s="40">
        <f t="shared" si="23"/>
        <v>0</v>
      </c>
      <c r="AY40" s="40">
        <f t="shared" si="23"/>
        <v>0</v>
      </c>
      <c r="AZ40" s="40">
        <f t="shared" si="23"/>
        <v>0</v>
      </c>
      <c r="BA40" s="40">
        <f t="shared" si="23"/>
        <v>0</v>
      </c>
      <c r="BB40" s="40">
        <f t="shared" si="23"/>
        <v>0</v>
      </c>
      <c r="BC40" s="40">
        <f t="shared" si="23"/>
        <v>0</v>
      </c>
      <c r="BD40" s="40">
        <f t="shared" si="23"/>
        <v>0</v>
      </c>
      <c r="BG40" s="41">
        <f>IF(AND($C40="werk",$D40="weekdag"),SUM($U40:$V40,$AW40:$AZ40),0)*$E40</f>
        <v>0</v>
      </c>
      <c r="BH40" s="41">
        <f t="shared" ref="BH40:BH65" si="25">IF(AND($C40="werk",$D40="weekdag"),SUM($I40:$T40,$BA40:$BD40),0)*$E40</f>
        <v>0</v>
      </c>
      <c r="BI40" s="41">
        <f t="shared" ref="BI40:BI65" si="26">IF(AND($C40="werk",$D40="zaterdag"),SUM($U40:$X40,$AG40:$AZ40),0)*$E40</f>
        <v>0</v>
      </c>
      <c r="BJ40" s="41">
        <f t="shared" ref="BJ40:BJ65" si="27">IF(AND($C40="werk",$D40="zaterdag"),SUM($I40:$T40,$BA40:$BD40),0)*$E40</f>
        <v>0</v>
      </c>
      <c r="BK40" s="41">
        <f t="shared" ref="BK40:BK65" si="28">IF(AND($C40="werk",$D40="zondag"),SUM($I40:$BD40),0)*$E40</f>
        <v>0</v>
      </c>
    </row>
    <row r="41" spans="1:63" x14ac:dyDescent="0.25">
      <c r="A41" s="42"/>
      <c r="B41" s="43"/>
      <c r="C41" s="43"/>
      <c r="D41" s="42"/>
      <c r="E41" s="42"/>
      <c r="F41" s="44"/>
      <c r="G41" s="44"/>
      <c r="H41" s="39">
        <f t="shared" si="24"/>
        <v>0</v>
      </c>
      <c r="I41" s="40">
        <f t="shared" si="20"/>
        <v>0</v>
      </c>
      <c r="J41" s="40">
        <f t="shared" si="20"/>
        <v>0</v>
      </c>
      <c r="K41" s="40">
        <f t="shared" si="20"/>
        <v>0</v>
      </c>
      <c r="L41" s="40">
        <f t="shared" si="20"/>
        <v>0</v>
      </c>
      <c r="M41" s="40">
        <f t="shared" si="20"/>
        <v>0</v>
      </c>
      <c r="N41" s="40">
        <f t="shared" si="21"/>
        <v>0</v>
      </c>
      <c r="O41" s="40">
        <f t="shared" si="21"/>
        <v>0</v>
      </c>
      <c r="P41" s="40">
        <f t="shared" si="21"/>
        <v>0</v>
      </c>
      <c r="Q41" s="40">
        <f t="shared" si="21"/>
        <v>0</v>
      </c>
      <c r="R41" s="40">
        <f t="shared" si="21"/>
        <v>0</v>
      </c>
      <c r="S41" s="40">
        <f t="shared" si="21"/>
        <v>0</v>
      </c>
      <c r="T41" s="40">
        <f t="shared" si="21"/>
        <v>0</v>
      </c>
      <c r="U41" s="40">
        <f t="shared" si="21"/>
        <v>0</v>
      </c>
      <c r="V41" s="40">
        <f t="shared" si="21"/>
        <v>0</v>
      </c>
      <c r="W41" s="40">
        <f t="shared" si="21"/>
        <v>0</v>
      </c>
      <c r="X41" s="40">
        <f t="shared" si="21"/>
        <v>0</v>
      </c>
      <c r="Y41" s="40">
        <f t="shared" si="21"/>
        <v>0</v>
      </c>
      <c r="Z41" s="40">
        <f t="shared" si="21"/>
        <v>0</v>
      </c>
      <c r="AA41" s="40">
        <f t="shared" si="21"/>
        <v>0</v>
      </c>
      <c r="AB41" s="40">
        <f t="shared" si="21"/>
        <v>0</v>
      </c>
      <c r="AC41" s="40">
        <f t="shared" si="21"/>
        <v>0</v>
      </c>
      <c r="AD41" s="40">
        <f t="shared" si="22"/>
        <v>0</v>
      </c>
      <c r="AE41" s="40">
        <f t="shared" si="22"/>
        <v>0</v>
      </c>
      <c r="AF41" s="40">
        <f t="shared" si="22"/>
        <v>0</v>
      </c>
      <c r="AG41" s="40">
        <f t="shared" si="22"/>
        <v>0</v>
      </c>
      <c r="AH41" s="40">
        <f t="shared" si="22"/>
        <v>0</v>
      </c>
      <c r="AI41" s="40">
        <f t="shared" si="22"/>
        <v>0</v>
      </c>
      <c r="AJ41" s="40">
        <f t="shared" si="22"/>
        <v>0</v>
      </c>
      <c r="AK41" s="40">
        <f t="shared" si="22"/>
        <v>0</v>
      </c>
      <c r="AL41" s="40">
        <f t="shared" si="22"/>
        <v>0</v>
      </c>
      <c r="AM41" s="40">
        <f t="shared" si="22"/>
        <v>0</v>
      </c>
      <c r="AN41" s="40">
        <f t="shared" si="22"/>
        <v>0</v>
      </c>
      <c r="AO41" s="40">
        <f t="shared" si="22"/>
        <v>0</v>
      </c>
      <c r="AP41" s="40">
        <f t="shared" si="22"/>
        <v>0</v>
      </c>
      <c r="AQ41" s="40">
        <f t="shared" si="22"/>
        <v>0</v>
      </c>
      <c r="AR41" s="40">
        <f t="shared" si="22"/>
        <v>0</v>
      </c>
      <c r="AS41" s="40">
        <f t="shared" si="22"/>
        <v>0</v>
      </c>
      <c r="AT41" s="40">
        <f t="shared" si="23"/>
        <v>0</v>
      </c>
      <c r="AU41" s="40">
        <f t="shared" si="23"/>
        <v>0</v>
      </c>
      <c r="AV41" s="40">
        <f t="shared" si="23"/>
        <v>0</v>
      </c>
      <c r="AW41" s="40">
        <f t="shared" si="23"/>
        <v>0</v>
      </c>
      <c r="AX41" s="40">
        <f t="shared" si="23"/>
        <v>0</v>
      </c>
      <c r="AY41" s="40">
        <f t="shared" si="23"/>
        <v>0</v>
      </c>
      <c r="AZ41" s="40">
        <f t="shared" si="23"/>
        <v>0</v>
      </c>
      <c r="BA41" s="40">
        <f t="shared" si="23"/>
        <v>0</v>
      </c>
      <c r="BB41" s="40">
        <f t="shared" si="23"/>
        <v>0</v>
      </c>
      <c r="BC41" s="40">
        <f t="shared" si="23"/>
        <v>0</v>
      </c>
      <c r="BD41" s="40">
        <f t="shared" si="23"/>
        <v>0</v>
      </c>
      <c r="BG41" s="41">
        <f>IF(AND($C41="werk",$D41="weekdag"),SUM($U41:$V41,$AW41:$AZ41),0)*$E41</f>
        <v>0</v>
      </c>
      <c r="BH41" s="41">
        <f t="shared" si="25"/>
        <v>0</v>
      </c>
      <c r="BI41" s="41">
        <f t="shared" si="26"/>
        <v>0</v>
      </c>
      <c r="BJ41" s="41">
        <f t="shared" si="27"/>
        <v>0</v>
      </c>
      <c r="BK41" s="41">
        <f t="shared" si="28"/>
        <v>0</v>
      </c>
    </row>
    <row r="42" spans="1:63" x14ac:dyDescent="0.25">
      <c r="A42" s="42"/>
      <c r="B42" s="43"/>
      <c r="C42" s="43"/>
      <c r="D42" s="42"/>
      <c r="E42" s="42"/>
      <c r="F42" s="44"/>
      <c r="G42" s="44"/>
      <c r="H42" s="39">
        <f t="shared" si="24"/>
        <v>0</v>
      </c>
      <c r="I42" s="40">
        <f t="shared" si="20"/>
        <v>0</v>
      </c>
      <c r="J42" s="40">
        <f t="shared" si="20"/>
        <v>0</v>
      </c>
      <c r="K42" s="40">
        <f t="shared" si="20"/>
        <v>0</v>
      </c>
      <c r="L42" s="40">
        <f t="shared" si="20"/>
        <v>0</v>
      </c>
      <c r="M42" s="40">
        <f t="shared" si="20"/>
        <v>0</v>
      </c>
      <c r="N42" s="40">
        <f t="shared" si="21"/>
        <v>0</v>
      </c>
      <c r="O42" s="40">
        <f t="shared" si="21"/>
        <v>0</v>
      </c>
      <c r="P42" s="40">
        <f t="shared" si="21"/>
        <v>0</v>
      </c>
      <c r="Q42" s="40">
        <f t="shared" si="21"/>
        <v>0</v>
      </c>
      <c r="R42" s="40">
        <f t="shared" si="21"/>
        <v>0</v>
      </c>
      <c r="S42" s="40">
        <f t="shared" si="21"/>
        <v>0</v>
      </c>
      <c r="T42" s="40">
        <f t="shared" si="21"/>
        <v>0</v>
      </c>
      <c r="U42" s="40">
        <f t="shared" si="21"/>
        <v>0</v>
      </c>
      <c r="V42" s="40">
        <f>IF($G42="",0,IF(P42="werk",IF($G42&gt;$F42,IF(AND($F42&lt;W$9,$G42&gt;W$9),0.5,0),IF(OR($F42&lt;W$9,$G42&gt;W$9),0.5,0)),IF($G42&gt;$F42,IF(AND($F42&lt;W$9,$G42&gt;W$9),0.5,0),IF(OR($F42&lt;W$9,$G42&gt;=W$9),0.25,0))))</f>
        <v>0</v>
      </c>
      <c r="W42" s="40">
        <f t="shared" si="21"/>
        <v>0</v>
      </c>
      <c r="X42" s="40">
        <f t="shared" si="21"/>
        <v>0</v>
      </c>
      <c r="Y42" s="40">
        <f t="shared" si="21"/>
        <v>0</v>
      </c>
      <c r="Z42" s="40">
        <f t="shared" si="21"/>
        <v>0</v>
      </c>
      <c r="AA42" s="40">
        <f t="shared" si="21"/>
        <v>0</v>
      </c>
      <c r="AB42" s="40">
        <f t="shared" si="21"/>
        <v>0</v>
      </c>
      <c r="AC42" s="40">
        <f t="shared" si="21"/>
        <v>0</v>
      </c>
      <c r="AD42" s="40">
        <f t="shared" si="22"/>
        <v>0</v>
      </c>
      <c r="AE42" s="40">
        <f t="shared" si="22"/>
        <v>0</v>
      </c>
      <c r="AF42" s="40">
        <f t="shared" si="22"/>
        <v>0</v>
      </c>
      <c r="AG42" s="40">
        <f t="shared" si="22"/>
        <v>0</v>
      </c>
      <c r="AH42" s="40">
        <f t="shared" si="22"/>
        <v>0</v>
      </c>
      <c r="AI42" s="40">
        <f t="shared" si="22"/>
        <v>0</v>
      </c>
      <c r="AJ42" s="40">
        <f t="shared" si="22"/>
        <v>0</v>
      </c>
      <c r="AK42" s="40">
        <f t="shared" si="22"/>
        <v>0</v>
      </c>
      <c r="AL42" s="40">
        <f t="shared" si="22"/>
        <v>0</v>
      </c>
      <c r="AM42" s="40">
        <f t="shared" si="22"/>
        <v>0</v>
      </c>
      <c r="AN42" s="40">
        <f t="shared" si="22"/>
        <v>0</v>
      </c>
      <c r="AO42" s="40">
        <f t="shared" si="22"/>
        <v>0</v>
      </c>
      <c r="AP42" s="40">
        <f t="shared" si="22"/>
        <v>0</v>
      </c>
      <c r="AQ42" s="40">
        <f t="shared" si="22"/>
        <v>0</v>
      </c>
      <c r="AR42" s="40">
        <f t="shared" si="22"/>
        <v>0</v>
      </c>
      <c r="AS42" s="40">
        <f t="shared" si="22"/>
        <v>0</v>
      </c>
      <c r="AT42" s="40">
        <f t="shared" si="23"/>
        <v>0</v>
      </c>
      <c r="AU42" s="40">
        <f t="shared" si="23"/>
        <v>0</v>
      </c>
      <c r="AV42" s="40">
        <f t="shared" si="23"/>
        <v>0</v>
      </c>
      <c r="AW42" s="40">
        <f t="shared" si="23"/>
        <v>0</v>
      </c>
      <c r="AX42" s="40">
        <f t="shared" si="23"/>
        <v>0</v>
      </c>
      <c r="AY42" s="40">
        <f t="shared" si="23"/>
        <v>0</v>
      </c>
      <c r="AZ42" s="40">
        <f t="shared" si="23"/>
        <v>0</v>
      </c>
      <c r="BA42" s="40">
        <f t="shared" si="23"/>
        <v>0</v>
      </c>
      <c r="BB42" s="40">
        <f t="shared" si="23"/>
        <v>0</v>
      </c>
      <c r="BC42" s="40">
        <f t="shared" si="23"/>
        <v>0</v>
      </c>
      <c r="BD42" s="40">
        <f t="shared" si="23"/>
        <v>0</v>
      </c>
      <c r="BG42" s="41">
        <f>IF(AND($C42="werk",$D42="weekdag"),SUM($U42:$V42,$AW42:$AZ42),0)*$E42</f>
        <v>0</v>
      </c>
      <c r="BH42" s="41">
        <f t="shared" si="25"/>
        <v>0</v>
      </c>
      <c r="BI42" s="41">
        <f t="shared" si="26"/>
        <v>0</v>
      </c>
      <c r="BJ42" s="41">
        <f t="shared" si="27"/>
        <v>0</v>
      </c>
      <c r="BK42" s="41">
        <f t="shared" si="28"/>
        <v>0</v>
      </c>
    </row>
    <row r="43" spans="1:63" x14ac:dyDescent="0.25">
      <c r="A43" s="42"/>
      <c r="B43" s="43"/>
      <c r="C43" s="43"/>
      <c r="D43" s="42"/>
      <c r="E43" s="42"/>
      <c r="F43" s="44"/>
      <c r="G43" s="44"/>
      <c r="H43" s="39">
        <f t="shared" si="24"/>
        <v>0</v>
      </c>
      <c r="I43" s="40">
        <f t="shared" si="20"/>
        <v>0</v>
      </c>
      <c r="J43" s="40">
        <f t="shared" si="20"/>
        <v>0</v>
      </c>
      <c r="K43" s="40">
        <f t="shared" si="20"/>
        <v>0</v>
      </c>
      <c r="L43" s="40">
        <f t="shared" si="20"/>
        <v>0</v>
      </c>
      <c r="M43" s="40">
        <f t="shared" si="20"/>
        <v>0</v>
      </c>
      <c r="N43" s="40">
        <f t="shared" si="21"/>
        <v>0</v>
      </c>
      <c r="O43" s="40">
        <f t="shared" si="21"/>
        <v>0</v>
      </c>
      <c r="P43" s="40">
        <f t="shared" si="21"/>
        <v>0</v>
      </c>
      <c r="Q43" s="40">
        <f t="shared" si="21"/>
        <v>0</v>
      </c>
      <c r="R43" s="40">
        <f t="shared" si="21"/>
        <v>0</v>
      </c>
      <c r="S43" s="40">
        <f t="shared" si="21"/>
        <v>0</v>
      </c>
      <c r="T43" s="40">
        <f t="shared" si="21"/>
        <v>0</v>
      </c>
      <c r="U43" s="40">
        <f t="shared" si="21"/>
        <v>0</v>
      </c>
      <c r="V43" s="40">
        <f t="shared" si="21"/>
        <v>0</v>
      </c>
      <c r="W43" s="40">
        <f t="shared" si="21"/>
        <v>0</v>
      </c>
      <c r="X43" s="40">
        <f t="shared" si="21"/>
        <v>0</v>
      </c>
      <c r="Y43" s="40">
        <f t="shared" si="21"/>
        <v>0</v>
      </c>
      <c r="Z43" s="40">
        <f t="shared" si="21"/>
        <v>0</v>
      </c>
      <c r="AA43" s="40">
        <f t="shared" si="21"/>
        <v>0</v>
      </c>
      <c r="AB43" s="40">
        <f t="shared" si="21"/>
        <v>0</v>
      </c>
      <c r="AC43" s="40">
        <f t="shared" si="21"/>
        <v>0</v>
      </c>
      <c r="AD43" s="40">
        <f t="shared" si="22"/>
        <v>0</v>
      </c>
      <c r="AE43" s="40">
        <f t="shared" si="22"/>
        <v>0</v>
      </c>
      <c r="AF43" s="40">
        <f t="shared" si="22"/>
        <v>0</v>
      </c>
      <c r="AG43" s="40">
        <f t="shared" si="22"/>
        <v>0</v>
      </c>
      <c r="AH43" s="40">
        <f t="shared" si="22"/>
        <v>0</v>
      </c>
      <c r="AI43" s="40">
        <f t="shared" si="22"/>
        <v>0</v>
      </c>
      <c r="AJ43" s="40">
        <f t="shared" si="22"/>
        <v>0</v>
      </c>
      <c r="AK43" s="40">
        <f t="shared" si="22"/>
        <v>0</v>
      </c>
      <c r="AL43" s="40">
        <f t="shared" si="22"/>
        <v>0</v>
      </c>
      <c r="AM43" s="40">
        <f t="shared" si="22"/>
        <v>0</v>
      </c>
      <c r="AN43" s="40">
        <f t="shared" si="22"/>
        <v>0</v>
      </c>
      <c r="AO43" s="40">
        <f t="shared" si="22"/>
        <v>0</v>
      </c>
      <c r="AP43" s="40">
        <f t="shared" si="22"/>
        <v>0</v>
      </c>
      <c r="AQ43" s="40">
        <f t="shared" si="22"/>
        <v>0</v>
      </c>
      <c r="AR43" s="40">
        <f t="shared" si="22"/>
        <v>0</v>
      </c>
      <c r="AS43" s="40">
        <f t="shared" si="22"/>
        <v>0</v>
      </c>
      <c r="AT43" s="40">
        <f t="shared" si="23"/>
        <v>0</v>
      </c>
      <c r="AU43" s="40">
        <f t="shared" si="23"/>
        <v>0</v>
      </c>
      <c r="AV43" s="40">
        <f t="shared" si="23"/>
        <v>0</v>
      </c>
      <c r="AW43" s="40">
        <f t="shared" si="23"/>
        <v>0</v>
      </c>
      <c r="AX43" s="40">
        <f t="shared" si="23"/>
        <v>0</v>
      </c>
      <c r="AY43" s="40">
        <f t="shared" si="23"/>
        <v>0</v>
      </c>
      <c r="AZ43" s="40">
        <f t="shared" si="23"/>
        <v>0</v>
      </c>
      <c r="BA43" s="40">
        <f t="shared" si="23"/>
        <v>0</v>
      </c>
      <c r="BB43" s="40">
        <f t="shared" si="23"/>
        <v>0</v>
      </c>
      <c r="BC43" s="40">
        <f t="shared" si="23"/>
        <v>0</v>
      </c>
      <c r="BD43" s="40">
        <f t="shared" si="23"/>
        <v>0</v>
      </c>
      <c r="BG43" s="41">
        <f>IF(AND($C43="werk",$D43="weekdag"),SUM($U43:$V43,$AW43:$AZ43),0)*$E43</f>
        <v>0</v>
      </c>
      <c r="BH43" s="41">
        <f t="shared" si="25"/>
        <v>0</v>
      </c>
      <c r="BI43" s="41">
        <f t="shared" si="26"/>
        <v>0</v>
      </c>
      <c r="BJ43" s="41">
        <f t="shared" si="27"/>
        <v>0</v>
      </c>
      <c r="BK43" s="41">
        <f t="shared" si="28"/>
        <v>0</v>
      </c>
    </row>
    <row r="44" spans="1:63" x14ac:dyDescent="0.25">
      <c r="A44" s="42"/>
      <c r="B44" s="43"/>
      <c r="C44" s="43"/>
      <c r="D44" s="42"/>
      <c r="E44" s="42"/>
      <c r="F44" s="44"/>
      <c r="G44" s="44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G44" s="41">
        <f t="shared" ref="BG44:BG65" si="29">IF(AND($C44="werk",$D44="weekdag"),SUM($U44:$V44,$AW44:$AZ44),0)*$E44</f>
        <v>0</v>
      </c>
      <c r="BH44" s="41">
        <f t="shared" si="25"/>
        <v>0</v>
      </c>
      <c r="BI44" s="41">
        <f t="shared" si="26"/>
        <v>0</v>
      </c>
      <c r="BJ44" s="41">
        <f t="shared" si="27"/>
        <v>0</v>
      </c>
      <c r="BK44" s="41">
        <f t="shared" si="28"/>
        <v>0</v>
      </c>
    </row>
    <row r="45" spans="1:63" x14ac:dyDescent="0.25">
      <c r="A45" s="42"/>
      <c r="B45" s="43"/>
      <c r="C45" s="43"/>
      <c r="D45" s="42"/>
      <c r="E45" s="42"/>
      <c r="F45" s="44"/>
      <c r="G45" s="44"/>
      <c r="H45" s="39">
        <f>IF(C45="werk",IF(G45&gt;F45,E45*((HOUR(G45)*60+MINUTE(G45))-(HOUR(F45)*60+MINUTE(F45)))/60,E45*(1440-(HOUR(F45)*60+MINUTE(F45))+(HOUR(G45)*60+MINUTE(G45)))/60),IF(G45&gt;F45,E45*((HOUR(G45)*60+MINUTE(G45))-(HOUR(F45)*60+MINUTE(F45)))/60,E45*(1440-(HOUR(F45)*60+MINUTE(F45))+(HOUR(G45)*60+MINUTE(G45)))/60)*50%)</f>
        <v>0</v>
      </c>
      <c r="I45" s="40">
        <f t="shared" ref="I45:M49" si="30">IF($G45="",0,IF(C45="werk",IF($G45&gt;$F45,IF(AND($F45&lt;J$9,$G45&gt;J$9),0.5,0),IF(OR($F45&lt;J$9,$G45&gt;J$9),0.5,0)),IF($G45&gt;$F45,IF(AND($F45&lt;J$9,$G45&gt;J$9),0.5,0),IF(OR($F45&lt;J$9,$G45&gt;=J$9),0.25,0))))</f>
        <v>0</v>
      </c>
      <c r="J45" s="40">
        <f t="shared" si="30"/>
        <v>0</v>
      </c>
      <c r="K45" s="40">
        <f t="shared" si="30"/>
        <v>0</v>
      </c>
      <c r="L45" s="40">
        <f t="shared" si="30"/>
        <v>0</v>
      </c>
      <c r="M45" s="40">
        <f>IF($G45="",0,IF(G45="werk",IF($G45&gt;$F45,IF(AND($F45&lt;N$9,$G45&gt;N$9),0.5,0),IF(OR($F45&lt;N$9,$G45&gt;N$9),0.5,0)),IF($G45&gt;$F45,IF(AND($F45&lt;N$9,$G45&gt;N$9),0.5,0),IF(OR($F45&lt;N$9,$G45&gt;=N$9),0.25,0))))</f>
        <v>0</v>
      </c>
      <c r="N45" s="40">
        <f t="shared" ref="N45:AC49" si="31">IF($G45="",0,IF(H45="werk",IF($G45&gt;$F45,IF(AND($F45&lt;O$9,$G45&gt;O$9),0.5,0),IF(OR($F45&lt;O$9,$G45&gt;O$9),0.5,0)),IF($G45&gt;$F45,IF(AND($F45&lt;O$9,$G45&gt;O$9),0.5,0),IF(OR($F45&lt;O$9,$G45&gt;=O$9),0.25,0))))</f>
        <v>0</v>
      </c>
      <c r="O45" s="40">
        <f t="shared" si="31"/>
        <v>0</v>
      </c>
      <c r="P45" s="40">
        <f t="shared" si="31"/>
        <v>0</v>
      </c>
      <c r="Q45" s="40">
        <f t="shared" si="31"/>
        <v>0</v>
      </c>
      <c r="R45" s="40">
        <f t="shared" si="31"/>
        <v>0</v>
      </c>
      <c r="S45" s="40">
        <f t="shared" si="31"/>
        <v>0</v>
      </c>
      <c r="T45" s="40">
        <f t="shared" si="31"/>
        <v>0</v>
      </c>
      <c r="U45" s="40">
        <f t="shared" si="31"/>
        <v>0</v>
      </c>
      <c r="V45" s="40">
        <f t="shared" si="31"/>
        <v>0</v>
      </c>
      <c r="W45" s="40">
        <f t="shared" si="31"/>
        <v>0</v>
      </c>
      <c r="X45" s="40">
        <f t="shared" si="31"/>
        <v>0</v>
      </c>
      <c r="Y45" s="40">
        <f t="shared" si="31"/>
        <v>0</v>
      </c>
      <c r="Z45" s="40">
        <f t="shared" si="31"/>
        <v>0</v>
      </c>
      <c r="AA45" s="40">
        <f t="shared" si="31"/>
        <v>0</v>
      </c>
      <c r="AB45" s="40">
        <f t="shared" si="31"/>
        <v>0</v>
      </c>
      <c r="AC45" s="40">
        <f t="shared" si="31"/>
        <v>0</v>
      </c>
      <c r="AD45" s="40">
        <f t="shared" ref="AD45:AS49" si="32">IF($G45="",0,IF(X45="werk",IF($G45&gt;$F45,IF(AND($F45&lt;AE$9,$G45&gt;AE$9),0.5,0),IF(OR($F45&lt;AE$9,$G45&gt;AE$9),0.5,0)),IF($G45&gt;$F45,IF(AND($F45&lt;AE$9,$G45&gt;AE$9),0.5,0),IF(OR($F45&lt;AE$9,$G45&gt;=AE$9),0.25,0))))</f>
        <v>0</v>
      </c>
      <c r="AE45" s="40">
        <f t="shared" si="32"/>
        <v>0</v>
      </c>
      <c r="AF45" s="40">
        <f t="shared" si="32"/>
        <v>0</v>
      </c>
      <c r="AG45" s="40">
        <f t="shared" si="32"/>
        <v>0</v>
      </c>
      <c r="AH45" s="40">
        <f t="shared" si="32"/>
        <v>0</v>
      </c>
      <c r="AI45" s="40">
        <f t="shared" si="32"/>
        <v>0</v>
      </c>
      <c r="AJ45" s="40">
        <f t="shared" si="32"/>
        <v>0</v>
      </c>
      <c r="AK45" s="40">
        <f t="shared" si="32"/>
        <v>0</v>
      </c>
      <c r="AL45" s="40">
        <f t="shared" si="32"/>
        <v>0</v>
      </c>
      <c r="AM45" s="40">
        <f t="shared" si="32"/>
        <v>0</v>
      </c>
      <c r="AN45" s="40">
        <f t="shared" si="32"/>
        <v>0</v>
      </c>
      <c r="AO45" s="40">
        <f t="shared" si="32"/>
        <v>0</v>
      </c>
      <c r="AP45" s="40">
        <f t="shared" si="32"/>
        <v>0</v>
      </c>
      <c r="AQ45" s="40">
        <f t="shared" si="32"/>
        <v>0</v>
      </c>
      <c r="AR45" s="40">
        <f t="shared" si="32"/>
        <v>0</v>
      </c>
      <c r="AS45" s="40">
        <f t="shared" si="32"/>
        <v>0</v>
      </c>
      <c r="AT45" s="40">
        <f t="shared" ref="AT45:BD49" si="33">IF($G45="",0,IF(AN45="werk",IF($G45&gt;$F45,IF(AND($F45&lt;AU$9,$G45&gt;AU$9),0.5,0),IF(OR($F45&lt;AU$9,$G45&gt;AU$9),0.5,0)),IF($G45&gt;$F45,IF(AND($F45&lt;AU$9,$G45&gt;AU$9),0.5,0),IF(OR($F45&lt;AU$9,$G45&gt;=AU$9),0.25,0))))</f>
        <v>0</v>
      </c>
      <c r="AU45" s="40">
        <f t="shared" si="33"/>
        <v>0</v>
      </c>
      <c r="AV45" s="40">
        <f t="shared" si="33"/>
        <v>0</v>
      </c>
      <c r="AW45" s="40">
        <f t="shared" si="33"/>
        <v>0</v>
      </c>
      <c r="AX45" s="40">
        <f t="shared" si="33"/>
        <v>0</v>
      </c>
      <c r="AY45" s="40">
        <f t="shared" si="33"/>
        <v>0</v>
      </c>
      <c r="AZ45" s="40">
        <f t="shared" si="33"/>
        <v>0</v>
      </c>
      <c r="BA45" s="40">
        <f t="shared" si="33"/>
        <v>0</v>
      </c>
      <c r="BB45" s="40">
        <f t="shared" si="33"/>
        <v>0</v>
      </c>
      <c r="BC45" s="40">
        <f t="shared" si="33"/>
        <v>0</v>
      </c>
      <c r="BD45" s="40">
        <f t="shared" si="33"/>
        <v>0</v>
      </c>
      <c r="BG45" s="41">
        <f t="shared" si="29"/>
        <v>0</v>
      </c>
      <c r="BH45" s="41">
        <f t="shared" si="25"/>
        <v>0</v>
      </c>
      <c r="BI45" s="41">
        <f t="shared" si="26"/>
        <v>0</v>
      </c>
      <c r="BJ45" s="41">
        <f t="shared" si="27"/>
        <v>0</v>
      </c>
      <c r="BK45" s="41">
        <f t="shared" si="28"/>
        <v>0</v>
      </c>
    </row>
    <row r="46" spans="1:63" x14ac:dyDescent="0.25">
      <c r="A46" s="42"/>
      <c r="B46" s="43"/>
      <c r="C46" s="43"/>
      <c r="D46" s="42"/>
      <c r="E46" s="42"/>
      <c r="F46" s="44"/>
      <c r="G46" s="44"/>
      <c r="H46" s="39">
        <f t="shared" ref="H46:H49" si="34">IF(C46="werk",IF(G46&gt;F46,E46*((HOUR(G46)*60+MINUTE(G46))-(HOUR(F46)*60+MINUTE(F46)))/60,E46*(1440-(HOUR(F46)*60+MINUTE(F46))+(HOUR(G46)*60+MINUTE(G46)))/60),IF(G46&gt;F46,E46*((HOUR(G46)*60+MINUTE(G46))-(HOUR(F46)*60+MINUTE(F46)))/60,E46*(1440-(HOUR(F46)*60+MINUTE(F46))+(HOUR(G46)*60+MINUTE(G46)))/60)*50%)</f>
        <v>0</v>
      </c>
      <c r="I46" s="40">
        <f t="shared" si="30"/>
        <v>0</v>
      </c>
      <c r="J46" s="40">
        <f t="shared" si="30"/>
        <v>0</v>
      </c>
      <c r="K46" s="40">
        <f t="shared" si="30"/>
        <v>0</v>
      </c>
      <c r="L46" s="40">
        <f t="shared" si="30"/>
        <v>0</v>
      </c>
      <c r="M46" s="40">
        <f t="shared" si="30"/>
        <v>0</v>
      </c>
      <c r="N46" s="40">
        <f t="shared" si="31"/>
        <v>0</v>
      </c>
      <c r="O46" s="40">
        <f t="shared" si="31"/>
        <v>0</v>
      </c>
      <c r="P46" s="40">
        <f t="shared" si="31"/>
        <v>0</v>
      </c>
      <c r="Q46" s="40">
        <f t="shared" si="31"/>
        <v>0</v>
      </c>
      <c r="R46" s="40">
        <f t="shared" si="31"/>
        <v>0</v>
      </c>
      <c r="S46" s="40">
        <f t="shared" si="31"/>
        <v>0</v>
      </c>
      <c r="T46" s="40">
        <f t="shared" si="31"/>
        <v>0</v>
      </c>
      <c r="U46" s="40">
        <f t="shared" si="31"/>
        <v>0</v>
      </c>
      <c r="V46" s="40">
        <f t="shared" si="31"/>
        <v>0</v>
      </c>
      <c r="W46" s="40">
        <f t="shared" si="31"/>
        <v>0</v>
      </c>
      <c r="X46" s="40">
        <f t="shared" si="31"/>
        <v>0</v>
      </c>
      <c r="Y46" s="40">
        <f t="shared" si="31"/>
        <v>0</v>
      </c>
      <c r="Z46" s="40">
        <f t="shared" si="31"/>
        <v>0</v>
      </c>
      <c r="AA46" s="40">
        <f t="shared" si="31"/>
        <v>0</v>
      </c>
      <c r="AB46" s="40">
        <f t="shared" si="31"/>
        <v>0</v>
      </c>
      <c r="AC46" s="40">
        <f t="shared" si="31"/>
        <v>0</v>
      </c>
      <c r="AD46" s="40">
        <f t="shared" si="32"/>
        <v>0</v>
      </c>
      <c r="AE46" s="40">
        <f t="shared" si="32"/>
        <v>0</v>
      </c>
      <c r="AF46" s="40">
        <f t="shared" si="32"/>
        <v>0</v>
      </c>
      <c r="AG46" s="40">
        <f t="shared" si="32"/>
        <v>0</v>
      </c>
      <c r="AH46" s="40">
        <f t="shared" si="32"/>
        <v>0</v>
      </c>
      <c r="AI46" s="40">
        <f t="shared" si="32"/>
        <v>0</v>
      </c>
      <c r="AJ46" s="40">
        <f t="shared" si="32"/>
        <v>0</v>
      </c>
      <c r="AK46" s="40">
        <f t="shared" si="32"/>
        <v>0</v>
      </c>
      <c r="AL46" s="40">
        <f t="shared" si="32"/>
        <v>0</v>
      </c>
      <c r="AM46" s="40">
        <f t="shared" si="32"/>
        <v>0</v>
      </c>
      <c r="AN46" s="40">
        <f t="shared" si="32"/>
        <v>0</v>
      </c>
      <c r="AO46" s="40">
        <f t="shared" si="32"/>
        <v>0</v>
      </c>
      <c r="AP46" s="40">
        <f t="shared" si="32"/>
        <v>0</v>
      </c>
      <c r="AQ46" s="40">
        <f t="shared" si="32"/>
        <v>0</v>
      </c>
      <c r="AR46" s="40">
        <f t="shared" si="32"/>
        <v>0</v>
      </c>
      <c r="AS46" s="40">
        <f t="shared" si="32"/>
        <v>0</v>
      </c>
      <c r="AT46" s="40">
        <f t="shared" si="33"/>
        <v>0</v>
      </c>
      <c r="AU46" s="40">
        <f t="shared" si="33"/>
        <v>0</v>
      </c>
      <c r="AV46" s="40">
        <f t="shared" si="33"/>
        <v>0</v>
      </c>
      <c r="AW46" s="40">
        <f t="shared" si="33"/>
        <v>0</v>
      </c>
      <c r="AX46" s="40">
        <f t="shared" si="33"/>
        <v>0</v>
      </c>
      <c r="AY46" s="40">
        <f t="shared" si="33"/>
        <v>0</v>
      </c>
      <c r="AZ46" s="40">
        <f t="shared" si="33"/>
        <v>0</v>
      </c>
      <c r="BA46" s="40">
        <f t="shared" si="33"/>
        <v>0</v>
      </c>
      <c r="BB46" s="40">
        <f t="shared" si="33"/>
        <v>0</v>
      </c>
      <c r="BC46" s="40">
        <f t="shared" si="33"/>
        <v>0</v>
      </c>
      <c r="BD46" s="40">
        <f t="shared" si="33"/>
        <v>0</v>
      </c>
      <c r="BG46" s="41">
        <f t="shared" si="29"/>
        <v>0</v>
      </c>
      <c r="BH46" s="41">
        <f t="shared" si="25"/>
        <v>0</v>
      </c>
      <c r="BI46" s="41">
        <f t="shared" si="26"/>
        <v>0</v>
      </c>
      <c r="BJ46" s="41">
        <f t="shared" si="27"/>
        <v>0</v>
      </c>
      <c r="BK46" s="41">
        <f t="shared" si="28"/>
        <v>0</v>
      </c>
    </row>
    <row r="47" spans="1:63" x14ac:dyDescent="0.25">
      <c r="A47" s="42"/>
      <c r="B47" s="43"/>
      <c r="C47" s="43"/>
      <c r="D47" s="42"/>
      <c r="E47" s="42"/>
      <c r="F47" s="44"/>
      <c r="G47" s="44"/>
      <c r="H47" s="39">
        <f t="shared" si="34"/>
        <v>0</v>
      </c>
      <c r="I47" s="40">
        <f t="shared" si="30"/>
        <v>0</v>
      </c>
      <c r="J47" s="40">
        <f t="shared" si="30"/>
        <v>0</v>
      </c>
      <c r="K47" s="40">
        <f t="shared" si="30"/>
        <v>0</v>
      </c>
      <c r="L47" s="40">
        <f t="shared" si="30"/>
        <v>0</v>
      </c>
      <c r="M47" s="40">
        <f t="shared" si="30"/>
        <v>0</v>
      </c>
      <c r="N47" s="40">
        <f t="shared" si="31"/>
        <v>0</v>
      </c>
      <c r="O47" s="40">
        <f t="shared" si="31"/>
        <v>0</v>
      </c>
      <c r="P47" s="40">
        <f t="shared" si="31"/>
        <v>0</v>
      </c>
      <c r="Q47" s="40">
        <f t="shared" si="31"/>
        <v>0</v>
      </c>
      <c r="R47" s="40">
        <f t="shared" si="31"/>
        <v>0</v>
      </c>
      <c r="S47" s="40">
        <f t="shared" si="31"/>
        <v>0</v>
      </c>
      <c r="T47" s="40">
        <f t="shared" si="31"/>
        <v>0</v>
      </c>
      <c r="U47" s="40">
        <f t="shared" si="31"/>
        <v>0</v>
      </c>
      <c r="V47" s="40">
        <f t="shared" si="31"/>
        <v>0</v>
      </c>
      <c r="W47" s="40">
        <f t="shared" si="31"/>
        <v>0</v>
      </c>
      <c r="X47" s="40">
        <f t="shared" si="31"/>
        <v>0</v>
      </c>
      <c r="Y47" s="40">
        <f t="shared" si="31"/>
        <v>0</v>
      </c>
      <c r="Z47" s="40">
        <f t="shared" si="31"/>
        <v>0</v>
      </c>
      <c r="AA47" s="40">
        <f t="shared" si="31"/>
        <v>0</v>
      </c>
      <c r="AB47" s="40">
        <f t="shared" si="31"/>
        <v>0</v>
      </c>
      <c r="AC47" s="40">
        <f t="shared" si="31"/>
        <v>0</v>
      </c>
      <c r="AD47" s="40">
        <f t="shared" si="32"/>
        <v>0</v>
      </c>
      <c r="AE47" s="40">
        <f t="shared" si="32"/>
        <v>0</v>
      </c>
      <c r="AF47" s="40">
        <f t="shared" si="32"/>
        <v>0</v>
      </c>
      <c r="AG47" s="40">
        <f t="shared" si="32"/>
        <v>0</v>
      </c>
      <c r="AH47" s="40">
        <f t="shared" si="32"/>
        <v>0</v>
      </c>
      <c r="AI47" s="40">
        <f t="shared" si="32"/>
        <v>0</v>
      </c>
      <c r="AJ47" s="40">
        <f t="shared" si="32"/>
        <v>0</v>
      </c>
      <c r="AK47" s="40">
        <f t="shared" si="32"/>
        <v>0</v>
      </c>
      <c r="AL47" s="40">
        <f t="shared" si="32"/>
        <v>0</v>
      </c>
      <c r="AM47" s="40">
        <f t="shared" si="32"/>
        <v>0</v>
      </c>
      <c r="AN47" s="40">
        <f t="shared" si="32"/>
        <v>0</v>
      </c>
      <c r="AO47" s="40">
        <f t="shared" si="32"/>
        <v>0</v>
      </c>
      <c r="AP47" s="40">
        <f t="shared" si="32"/>
        <v>0</v>
      </c>
      <c r="AQ47" s="40">
        <f t="shared" si="32"/>
        <v>0</v>
      </c>
      <c r="AR47" s="40">
        <f t="shared" si="32"/>
        <v>0</v>
      </c>
      <c r="AS47" s="40">
        <f t="shared" si="32"/>
        <v>0</v>
      </c>
      <c r="AT47" s="40">
        <f t="shared" si="33"/>
        <v>0</v>
      </c>
      <c r="AU47" s="40">
        <f t="shared" si="33"/>
        <v>0</v>
      </c>
      <c r="AV47" s="40">
        <f t="shared" si="33"/>
        <v>0</v>
      </c>
      <c r="AW47" s="40">
        <f t="shared" si="33"/>
        <v>0</v>
      </c>
      <c r="AX47" s="40">
        <f t="shared" si="33"/>
        <v>0</v>
      </c>
      <c r="AY47" s="40">
        <f t="shared" si="33"/>
        <v>0</v>
      </c>
      <c r="AZ47" s="40">
        <f t="shared" si="33"/>
        <v>0</v>
      </c>
      <c r="BA47" s="40">
        <f t="shared" si="33"/>
        <v>0</v>
      </c>
      <c r="BB47" s="40">
        <f t="shared" si="33"/>
        <v>0</v>
      </c>
      <c r="BC47" s="40">
        <f t="shared" si="33"/>
        <v>0</v>
      </c>
      <c r="BD47" s="40">
        <f t="shared" si="33"/>
        <v>0</v>
      </c>
      <c r="BG47" s="41">
        <f t="shared" si="29"/>
        <v>0</v>
      </c>
      <c r="BH47" s="41">
        <f t="shared" si="25"/>
        <v>0</v>
      </c>
      <c r="BI47" s="41">
        <f t="shared" si="26"/>
        <v>0</v>
      </c>
      <c r="BJ47" s="41">
        <f t="shared" si="27"/>
        <v>0</v>
      </c>
      <c r="BK47" s="41">
        <f t="shared" si="28"/>
        <v>0</v>
      </c>
    </row>
    <row r="48" spans="1:63" x14ac:dyDescent="0.25">
      <c r="A48" s="42"/>
      <c r="B48" s="43"/>
      <c r="C48" s="43"/>
      <c r="D48" s="42"/>
      <c r="E48" s="42"/>
      <c r="F48" s="44"/>
      <c r="G48" s="44"/>
      <c r="H48" s="39">
        <f t="shared" si="34"/>
        <v>0</v>
      </c>
      <c r="I48" s="40">
        <f t="shared" si="30"/>
        <v>0</v>
      </c>
      <c r="J48" s="40">
        <f t="shared" si="30"/>
        <v>0</v>
      </c>
      <c r="K48" s="40">
        <f t="shared" si="30"/>
        <v>0</v>
      </c>
      <c r="L48" s="40">
        <f t="shared" si="30"/>
        <v>0</v>
      </c>
      <c r="M48" s="40">
        <f t="shared" si="30"/>
        <v>0</v>
      </c>
      <c r="N48" s="40">
        <f t="shared" si="31"/>
        <v>0</v>
      </c>
      <c r="O48" s="40">
        <f t="shared" si="31"/>
        <v>0</v>
      </c>
      <c r="P48" s="40">
        <f t="shared" si="31"/>
        <v>0</v>
      </c>
      <c r="Q48" s="40">
        <f t="shared" si="31"/>
        <v>0</v>
      </c>
      <c r="R48" s="40">
        <f t="shared" si="31"/>
        <v>0</v>
      </c>
      <c r="S48" s="40">
        <f t="shared" si="31"/>
        <v>0</v>
      </c>
      <c r="T48" s="40">
        <f t="shared" si="31"/>
        <v>0</v>
      </c>
      <c r="U48" s="40">
        <f t="shared" si="31"/>
        <v>0</v>
      </c>
      <c r="V48" s="40">
        <f>IF($G48="",0,IF(P48="werk",IF($G48&gt;$F48,IF(AND($F48&lt;W$9,$G48&gt;W$9),0.5,0),IF(OR($F48&lt;W$9,$G48&gt;W$9),0.5,0)),IF($G48&gt;$F48,IF(AND($F48&lt;W$9,$G48&gt;W$9),0.5,0),IF(OR($F48&lt;W$9,$G48&gt;=W$9),0.25,0))))</f>
        <v>0</v>
      </c>
      <c r="W48" s="40">
        <f t="shared" si="31"/>
        <v>0</v>
      </c>
      <c r="X48" s="40">
        <f t="shared" si="31"/>
        <v>0</v>
      </c>
      <c r="Y48" s="40">
        <f t="shared" si="31"/>
        <v>0</v>
      </c>
      <c r="Z48" s="40">
        <f t="shared" si="31"/>
        <v>0</v>
      </c>
      <c r="AA48" s="40">
        <f t="shared" si="31"/>
        <v>0</v>
      </c>
      <c r="AB48" s="40">
        <f t="shared" si="31"/>
        <v>0</v>
      </c>
      <c r="AC48" s="40">
        <f t="shared" si="31"/>
        <v>0</v>
      </c>
      <c r="AD48" s="40">
        <f t="shared" si="32"/>
        <v>0</v>
      </c>
      <c r="AE48" s="40">
        <f t="shared" si="32"/>
        <v>0</v>
      </c>
      <c r="AF48" s="40">
        <f t="shared" si="32"/>
        <v>0</v>
      </c>
      <c r="AG48" s="40">
        <f t="shared" si="32"/>
        <v>0</v>
      </c>
      <c r="AH48" s="40">
        <f t="shared" si="32"/>
        <v>0</v>
      </c>
      <c r="AI48" s="40">
        <f t="shared" si="32"/>
        <v>0</v>
      </c>
      <c r="AJ48" s="40">
        <f t="shared" si="32"/>
        <v>0</v>
      </c>
      <c r="AK48" s="40">
        <f t="shared" si="32"/>
        <v>0</v>
      </c>
      <c r="AL48" s="40">
        <f t="shared" si="32"/>
        <v>0</v>
      </c>
      <c r="AM48" s="40">
        <f t="shared" si="32"/>
        <v>0</v>
      </c>
      <c r="AN48" s="40">
        <f t="shared" si="32"/>
        <v>0</v>
      </c>
      <c r="AO48" s="40">
        <f t="shared" si="32"/>
        <v>0</v>
      </c>
      <c r="AP48" s="40">
        <f t="shared" si="32"/>
        <v>0</v>
      </c>
      <c r="AQ48" s="40">
        <f t="shared" si="32"/>
        <v>0</v>
      </c>
      <c r="AR48" s="40">
        <f t="shared" si="32"/>
        <v>0</v>
      </c>
      <c r="AS48" s="40">
        <f t="shared" si="32"/>
        <v>0</v>
      </c>
      <c r="AT48" s="40">
        <f t="shared" si="33"/>
        <v>0</v>
      </c>
      <c r="AU48" s="40">
        <f t="shared" si="33"/>
        <v>0</v>
      </c>
      <c r="AV48" s="40">
        <f t="shared" si="33"/>
        <v>0</v>
      </c>
      <c r="AW48" s="40">
        <f t="shared" si="33"/>
        <v>0</v>
      </c>
      <c r="AX48" s="40">
        <f t="shared" si="33"/>
        <v>0</v>
      </c>
      <c r="AY48" s="40">
        <f t="shared" si="33"/>
        <v>0</v>
      </c>
      <c r="AZ48" s="40">
        <f t="shared" si="33"/>
        <v>0</v>
      </c>
      <c r="BA48" s="40">
        <f t="shared" si="33"/>
        <v>0</v>
      </c>
      <c r="BB48" s="40">
        <f t="shared" si="33"/>
        <v>0</v>
      </c>
      <c r="BC48" s="40">
        <f t="shared" si="33"/>
        <v>0</v>
      </c>
      <c r="BD48" s="40">
        <f t="shared" si="33"/>
        <v>0</v>
      </c>
      <c r="BG48" s="41">
        <f t="shared" si="29"/>
        <v>0</v>
      </c>
      <c r="BH48" s="41">
        <f t="shared" si="25"/>
        <v>0</v>
      </c>
      <c r="BI48" s="41">
        <f t="shared" si="26"/>
        <v>0</v>
      </c>
      <c r="BJ48" s="41">
        <f t="shared" si="27"/>
        <v>0</v>
      </c>
      <c r="BK48" s="41">
        <f t="shared" si="28"/>
        <v>0</v>
      </c>
    </row>
    <row r="49" spans="1:63" x14ac:dyDescent="0.25">
      <c r="A49" s="42"/>
      <c r="B49" s="43"/>
      <c r="C49" s="43"/>
      <c r="D49" s="42"/>
      <c r="E49" s="42"/>
      <c r="F49" s="44"/>
      <c r="G49" s="44"/>
      <c r="H49" s="39">
        <f t="shared" si="34"/>
        <v>0</v>
      </c>
      <c r="I49" s="40">
        <f t="shared" si="30"/>
        <v>0</v>
      </c>
      <c r="J49" s="40">
        <f t="shared" si="30"/>
        <v>0</v>
      </c>
      <c r="K49" s="40">
        <f t="shared" si="30"/>
        <v>0</v>
      </c>
      <c r="L49" s="40">
        <f t="shared" si="30"/>
        <v>0</v>
      </c>
      <c r="M49" s="40">
        <f t="shared" si="30"/>
        <v>0</v>
      </c>
      <c r="N49" s="40">
        <f t="shared" si="31"/>
        <v>0</v>
      </c>
      <c r="O49" s="40">
        <f t="shared" si="31"/>
        <v>0</v>
      </c>
      <c r="P49" s="40">
        <f t="shared" si="31"/>
        <v>0</v>
      </c>
      <c r="Q49" s="40">
        <f t="shared" si="31"/>
        <v>0</v>
      </c>
      <c r="R49" s="40">
        <f t="shared" si="31"/>
        <v>0</v>
      </c>
      <c r="S49" s="40">
        <f t="shared" si="31"/>
        <v>0</v>
      </c>
      <c r="T49" s="40">
        <f t="shared" si="31"/>
        <v>0</v>
      </c>
      <c r="U49" s="40">
        <f t="shared" si="31"/>
        <v>0</v>
      </c>
      <c r="V49" s="40">
        <f t="shared" si="31"/>
        <v>0</v>
      </c>
      <c r="W49" s="40">
        <f t="shared" si="31"/>
        <v>0</v>
      </c>
      <c r="X49" s="40">
        <f t="shared" si="31"/>
        <v>0</v>
      </c>
      <c r="Y49" s="40">
        <f t="shared" si="31"/>
        <v>0</v>
      </c>
      <c r="Z49" s="40">
        <f t="shared" si="31"/>
        <v>0</v>
      </c>
      <c r="AA49" s="40">
        <f t="shared" si="31"/>
        <v>0</v>
      </c>
      <c r="AB49" s="40">
        <f t="shared" si="31"/>
        <v>0</v>
      </c>
      <c r="AC49" s="40">
        <f t="shared" si="31"/>
        <v>0</v>
      </c>
      <c r="AD49" s="40">
        <f t="shared" si="32"/>
        <v>0</v>
      </c>
      <c r="AE49" s="40">
        <f t="shared" si="32"/>
        <v>0</v>
      </c>
      <c r="AF49" s="40">
        <f t="shared" si="32"/>
        <v>0</v>
      </c>
      <c r="AG49" s="40">
        <f t="shared" si="32"/>
        <v>0</v>
      </c>
      <c r="AH49" s="40">
        <f t="shared" si="32"/>
        <v>0</v>
      </c>
      <c r="AI49" s="40">
        <f t="shared" si="32"/>
        <v>0</v>
      </c>
      <c r="AJ49" s="40">
        <f t="shared" si="32"/>
        <v>0</v>
      </c>
      <c r="AK49" s="40">
        <f t="shared" si="32"/>
        <v>0</v>
      </c>
      <c r="AL49" s="40">
        <f t="shared" si="32"/>
        <v>0</v>
      </c>
      <c r="AM49" s="40">
        <f t="shared" si="32"/>
        <v>0</v>
      </c>
      <c r="AN49" s="40">
        <f t="shared" si="32"/>
        <v>0</v>
      </c>
      <c r="AO49" s="40">
        <f t="shared" si="32"/>
        <v>0</v>
      </c>
      <c r="AP49" s="40">
        <f t="shared" si="32"/>
        <v>0</v>
      </c>
      <c r="AQ49" s="40">
        <f t="shared" si="32"/>
        <v>0</v>
      </c>
      <c r="AR49" s="40">
        <f t="shared" si="32"/>
        <v>0</v>
      </c>
      <c r="AS49" s="40">
        <f t="shared" si="32"/>
        <v>0</v>
      </c>
      <c r="AT49" s="40">
        <f t="shared" si="33"/>
        <v>0</v>
      </c>
      <c r="AU49" s="40">
        <f t="shared" si="33"/>
        <v>0</v>
      </c>
      <c r="AV49" s="40">
        <f t="shared" si="33"/>
        <v>0</v>
      </c>
      <c r="AW49" s="40">
        <f t="shared" si="33"/>
        <v>0</v>
      </c>
      <c r="AX49" s="40">
        <f t="shared" si="33"/>
        <v>0</v>
      </c>
      <c r="AY49" s="40">
        <f t="shared" si="33"/>
        <v>0</v>
      </c>
      <c r="AZ49" s="40">
        <f t="shared" si="33"/>
        <v>0</v>
      </c>
      <c r="BA49" s="40">
        <f t="shared" si="33"/>
        <v>0</v>
      </c>
      <c r="BB49" s="40">
        <f t="shared" si="33"/>
        <v>0</v>
      </c>
      <c r="BC49" s="40">
        <f t="shared" si="33"/>
        <v>0</v>
      </c>
      <c r="BD49" s="40">
        <f t="shared" si="33"/>
        <v>0</v>
      </c>
      <c r="BG49" s="41">
        <f t="shared" si="29"/>
        <v>0</v>
      </c>
      <c r="BH49" s="41">
        <f t="shared" si="25"/>
        <v>0</v>
      </c>
      <c r="BI49" s="41">
        <f t="shared" si="26"/>
        <v>0</v>
      </c>
      <c r="BJ49" s="41">
        <f t="shared" si="27"/>
        <v>0</v>
      </c>
      <c r="BK49" s="41">
        <f t="shared" si="28"/>
        <v>0</v>
      </c>
    </row>
    <row r="50" spans="1:63" x14ac:dyDescent="0.25">
      <c r="A50" s="42"/>
      <c r="B50" s="43"/>
      <c r="C50" s="43"/>
      <c r="D50" s="42"/>
      <c r="E50" s="42"/>
      <c r="F50" s="44"/>
      <c r="G50" s="44"/>
      <c r="H50" s="39">
        <f t="shared" si="24"/>
        <v>0</v>
      </c>
      <c r="I50" s="40">
        <f t="shared" si="20"/>
        <v>0</v>
      </c>
      <c r="J50" s="40">
        <f t="shared" si="20"/>
        <v>0</v>
      </c>
      <c r="K50" s="40">
        <f t="shared" si="20"/>
        <v>0</v>
      </c>
      <c r="L50" s="40">
        <f t="shared" si="20"/>
        <v>0</v>
      </c>
      <c r="M50" s="40">
        <f t="shared" si="20"/>
        <v>0</v>
      </c>
      <c r="N50" s="40">
        <f t="shared" si="21"/>
        <v>0</v>
      </c>
      <c r="O50" s="40">
        <f t="shared" si="21"/>
        <v>0</v>
      </c>
      <c r="P50" s="40">
        <f t="shared" si="21"/>
        <v>0</v>
      </c>
      <c r="Q50" s="40">
        <f t="shared" si="21"/>
        <v>0</v>
      </c>
      <c r="R50" s="40">
        <f t="shared" si="21"/>
        <v>0</v>
      </c>
      <c r="S50" s="40">
        <f t="shared" si="21"/>
        <v>0</v>
      </c>
      <c r="T50" s="40">
        <f t="shared" si="21"/>
        <v>0</v>
      </c>
      <c r="U50" s="40">
        <f t="shared" si="21"/>
        <v>0</v>
      </c>
      <c r="V50" s="40">
        <f t="shared" si="21"/>
        <v>0</v>
      </c>
      <c r="W50" s="40">
        <f t="shared" si="21"/>
        <v>0</v>
      </c>
      <c r="X50" s="40">
        <f t="shared" si="21"/>
        <v>0</v>
      </c>
      <c r="Y50" s="40">
        <f t="shared" si="21"/>
        <v>0</v>
      </c>
      <c r="Z50" s="40">
        <f t="shared" si="21"/>
        <v>0</v>
      </c>
      <c r="AA50" s="40">
        <f t="shared" si="21"/>
        <v>0</v>
      </c>
      <c r="AB50" s="40">
        <f t="shared" si="21"/>
        <v>0</v>
      </c>
      <c r="AC50" s="40">
        <f t="shared" si="21"/>
        <v>0</v>
      </c>
      <c r="AD50" s="40">
        <f t="shared" si="22"/>
        <v>0</v>
      </c>
      <c r="AE50" s="40">
        <f t="shared" si="22"/>
        <v>0</v>
      </c>
      <c r="AF50" s="40">
        <f t="shared" si="22"/>
        <v>0</v>
      </c>
      <c r="AG50" s="40">
        <f t="shared" si="22"/>
        <v>0</v>
      </c>
      <c r="AH50" s="40">
        <f t="shared" si="22"/>
        <v>0</v>
      </c>
      <c r="AI50" s="40">
        <f t="shared" si="22"/>
        <v>0</v>
      </c>
      <c r="AJ50" s="40">
        <f t="shared" si="22"/>
        <v>0</v>
      </c>
      <c r="AK50" s="40">
        <f t="shared" si="22"/>
        <v>0</v>
      </c>
      <c r="AL50" s="40">
        <f t="shared" si="22"/>
        <v>0</v>
      </c>
      <c r="AM50" s="40">
        <f t="shared" si="22"/>
        <v>0</v>
      </c>
      <c r="AN50" s="40">
        <f t="shared" si="22"/>
        <v>0</v>
      </c>
      <c r="AO50" s="40">
        <f t="shared" si="22"/>
        <v>0</v>
      </c>
      <c r="AP50" s="40">
        <f t="shared" si="22"/>
        <v>0</v>
      </c>
      <c r="AQ50" s="40">
        <f t="shared" si="22"/>
        <v>0</v>
      </c>
      <c r="AR50" s="40">
        <f t="shared" si="22"/>
        <v>0</v>
      </c>
      <c r="AS50" s="40">
        <f t="shared" si="22"/>
        <v>0</v>
      </c>
      <c r="AT50" s="40">
        <f t="shared" si="23"/>
        <v>0</v>
      </c>
      <c r="AU50" s="40">
        <f t="shared" si="23"/>
        <v>0</v>
      </c>
      <c r="AV50" s="40">
        <f t="shared" si="23"/>
        <v>0</v>
      </c>
      <c r="AW50" s="40">
        <f t="shared" si="23"/>
        <v>0</v>
      </c>
      <c r="AX50" s="40">
        <f t="shared" si="23"/>
        <v>0</v>
      </c>
      <c r="AY50" s="40">
        <f t="shared" si="23"/>
        <v>0</v>
      </c>
      <c r="AZ50" s="40">
        <f t="shared" si="23"/>
        <v>0</v>
      </c>
      <c r="BA50" s="40">
        <f t="shared" si="23"/>
        <v>0</v>
      </c>
      <c r="BB50" s="40">
        <f t="shared" si="23"/>
        <v>0</v>
      </c>
      <c r="BC50" s="40">
        <f t="shared" si="23"/>
        <v>0</v>
      </c>
      <c r="BD50" s="40">
        <f t="shared" si="23"/>
        <v>0</v>
      </c>
      <c r="BG50" s="41">
        <f t="shared" si="29"/>
        <v>0</v>
      </c>
      <c r="BH50" s="41">
        <f t="shared" si="25"/>
        <v>0</v>
      </c>
      <c r="BI50" s="41">
        <f t="shared" si="26"/>
        <v>0</v>
      </c>
      <c r="BJ50" s="41">
        <f t="shared" si="27"/>
        <v>0</v>
      </c>
      <c r="BK50" s="41">
        <f t="shared" si="28"/>
        <v>0</v>
      </c>
    </row>
    <row r="51" spans="1:63" x14ac:dyDescent="0.25">
      <c r="A51" s="42"/>
      <c r="B51" s="43"/>
      <c r="C51" s="43"/>
      <c r="D51" s="42"/>
      <c r="E51" s="42"/>
      <c r="F51" s="44"/>
      <c r="G51" s="44"/>
      <c r="H51" s="39">
        <f t="shared" si="24"/>
        <v>0</v>
      </c>
      <c r="I51" s="40">
        <f t="shared" si="20"/>
        <v>0</v>
      </c>
      <c r="J51" s="40">
        <f t="shared" si="20"/>
        <v>0</v>
      </c>
      <c r="K51" s="40">
        <f t="shared" si="20"/>
        <v>0</v>
      </c>
      <c r="L51" s="40">
        <f t="shared" si="20"/>
        <v>0</v>
      </c>
      <c r="M51" s="40">
        <f t="shared" si="20"/>
        <v>0</v>
      </c>
      <c r="N51" s="40">
        <f t="shared" si="20"/>
        <v>0</v>
      </c>
      <c r="O51" s="40">
        <f t="shared" si="20"/>
        <v>0</v>
      </c>
      <c r="P51" s="40">
        <f t="shared" si="20"/>
        <v>0</v>
      </c>
      <c r="Q51" s="40">
        <f t="shared" si="20"/>
        <v>0</v>
      </c>
      <c r="R51" s="40">
        <f t="shared" si="20"/>
        <v>0</v>
      </c>
      <c r="S51" s="40">
        <f t="shared" si="20"/>
        <v>0</v>
      </c>
      <c r="T51" s="40">
        <f t="shared" si="20"/>
        <v>0</v>
      </c>
      <c r="U51" s="40">
        <f t="shared" si="20"/>
        <v>0</v>
      </c>
      <c r="V51" s="40">
        <f t="shared" si="20"/>
        <v>0</v>
      </c>
      <c r="W51" s="40">
        <f t="shared" si="20"/>
        <v>0</v>
      </c>
      <c r="X51" s="40">
        <f t="shared" si="20"/>
        <v>0</v>
      </c>
      <c r="Y51" s="40">
        <f t="shared" si="21"/>
        <v>0</v>
      </c>
      <c r="Z51" s="40">
        <f t="shared" si="21"/>
        <v>0</v>
      </c>
      <c r="AA51" s="40">
        <f t="shared" si="21"/>
        <v>0</v>
      </c>
      <c r="AB51" s="40">
        <f t="shared" si="21"/>
        <v>0</v>
      </c>
      <c r="AC51" s="40">
        <f t="shared" si="21"/>
        <v>0</v>
      </c>
      <c r="AD51" s="40">
        <f t="shared" si="22"/>
        <v>0</v>
      </c>
      <c r="AE51" s="40">
        <f t="shared" si="22"/>
        <v>0</v>
      </c>
      <c r="AF51" s="40">
        <f t="shared" si="22"/>
        <v>0</v>
      </c>
      <c r="AG51" s="40">
        <f t="shared" si="22"/>
        <v>0</v>
      </c>
      <c r="AH51" s="40">
        <f t="shared" si="22"/>
        <v>0</v>
      </c>
      <c r="AI51" s="40">
        <f t="shared" si="22"/>
        <v>0</v>
      </c>
      <c r="AJ51" s="40">
        <f t="shared" si="22"/>
        <v>0</v>
      </c>
      <c r="AK51" s="40">
        <f t="shared" si="22"/>
        <v>0</v>
      </c>
      <c r="AL51" s="40">
        <f t="shared" si="22"/>
        <v>0</v>
      </c>
      <c r="AM51" s="40">
        <f t="shared" si="22"/>
        <v>0</v>
      </c>
      <c r="AN51" s="40">
        <f t="shared" si="22"/>
        <v>0</v>
      </c>
      <c r="AO51" s="40">
        <f t="shared" si="22"/>
        <v>0</v>
      </c>
      <c r="AP51" s="40">
        <f t="shared" si="22"/>
        <v>0</v>
      </c>
      <c r="AQ51" s="40">
        <f t="shared" si="22"/>
        <v>0</v>
      </c>
      <c r="AR51" s="40">
        <f t="shared" si="22"/>
        <v>0</v>
      </c>
      <c r="AS51" s="40">
        <f t="shared" si="22"/>
        <v>0</v>
      </c>
      <c r="AT51" s="40">
        <f t="shared" si="23"/>
        <v>0</v>
      </c>
      <c r="AU51" s="40">
        <f t="shared" si="23"/>
        <v>0</v>
      </c>
      <c r="AV51" s="40">
        <f t="shared" si="23"/>
        <v>0</v>
      </c>
      <c r="AW51" s="40">
        <f t="shared" si="23"/>
        <v>0</v>
      </c>
      <c r="AX51" s="40">
        <f t="shared" si="23"/>
        <v>0</v>
      </c>
      <c r="AY51" s="40">
        <f t="shared" si="23"/>
        <v>0</v>
      </c>
      <c r="AZ51" s="40">
        <f t="shared" si="23"/>
        <v>0</v>
      </c>
      <c r="BA51" s="40">
        <f t="shared" si="23"/>
        <v>0</v>
      </c>
      <c r="BB51" s="40">
        <f t="shared" si="23"/>
        <v>0</v>
      </c>
      <c r="BC51" s="40">
        <f t="shared" si="23"/>
        <v>0</v>
      </c>
      <c r="BD51" s="40">
        <f t="shared" si="23"/>
        <v>0</v>
      </c>
      <c r="BG51" s="41">
        <f t="shared" si="29"/>
        <v>0</v>
      </c>
      <c r="BH51" s="41">
        <f t="shared" si="25"/>
        <v>0</v>
      </c>
      <c r="BI51" s="41">
        <f t="shared" si="26"/>
        <v>0</v>
      </c>
      <c r="BJ51" s="41">
        <f t="shared" si="27"/>
        <v>0</v>
      </c>
      <c r="BK51" s="41">
        <f t="shared" si="28"/>
        <v>0</v>
      </c>
    </row>
    <row r="52" spans="1:63" x14ac:dyDescent="0.25">
      <c r="A52" s="42"/>
      <c r="B52" s="43"/>
      <c r="C52" s="43"/>
      <c r="D52" s="42"/>
      <c r="E52" s="42"/>
      <c r="F52" s="44"/>
      <c r="G52" s="44"/>
      <c r="H52" s="39">
        <f t="shared" si="24"/>
        <v>0</v>
      </c>
      <c r="I52" s="40">
        <f t="shared" si="20"/>
        <v>0</v>
      </c>
      <c r="J52" s="40">
        <f t="shared" si="20"/>
        <v>0</v>
      </c>
      <c r="K52" s="40">
        <f t="shared" si="20"/>
        <v>0</v>
      </c>
      <c r="L52" s="40">
        <f t="shared" si="20"/>
        <v>0</v>
      </c>
      <c r="M52" s="40">
        <f t="shared" si="20"/>
        <v>0</v>
      </c>
      <c r="N52" s="40">
        <f t="shared" si="20"/>
        <v>0</v>
      </c>
      <c r="O52" s="40">
        <f t="shared" si="20"/>
        <v>0</v>
      </c>
      <c r="P52" s="40">
        <f t="shared" si="20"/>
        <v>0</v>
      </c>
      <c r="Q52" s="40">
        <f t="shared" si="20"/>
        <v>0</v>
      </c>
      <c r="R52" s="40">
        <f t="shared" si="20"/>
        <v>0</v>
      </c>
      <c r="S52" s="40">
        <f t="shared" si="20"/>
        <v>0</v>
      </c>
      <c r="T52" s="40">
        <f t="shared" si="20"/>
        <v>0</v>
      </c>
      <c r="U52" s="40">
        <f t="shared" si="20"/>
        <v>0</v>
      </c>
      <c r="V52" s="40">
        <f t="shared" si="20"/>
        <v>0</v>
      </c>
      <c r="W52" s="40">
        <f t="shared" si="20"/>
        <v>0</v>
      </c>
      <c r="X52" s="40">
        <f t="shared" si="20"/>
        <v>0</v>
      </c>
      <c r="Y52" s="40">
        <f t="shared" si="21"/>
        <v>0</v>
      </c>
      <c r="Z52" s="40">
        <f t="shared" si="21"/>
        <v>0</v>
      </c>
      <c r="AA52" s="40">
        <f t="shared" si="21"/>
        <v>0</v>
      </c>
      <c r="AB52" s="40">
        <f t="shared" si="21"/>
        <v>0</v>
      </c>
      <c r="AC52" s="40">
        <f t="shared" si="21"/>
        <v>0</v>
      </c>
      <c r="AD52" s="40">
        <f t="shared" si="22"/>
        <v>0</v>
      </c>
      <c r="AE52" s="40">
        <f t="shared" si="22"/>
        <v>0</v>
      </c>
      <c r="AF52" s="40">
        <f t="shared" si="22"/>
        <v>0</v>
      </c>
      <c r="AG52" s="40">
        <f t="shared" si="22"/>
        <v>0</v>
      </c>
      <c r="AH52" s="40">
        <f t="shared" si="22"/>
        <v>0</v>
      </c>
      <c r="AI52" s="40">
        <f t="shared" si="22"/>
        <v>0</v>
      </c>
      <c r="AJ52" s="40">
        <f t="shared" si="22"/>
        <v>0</v>
      </c>
      <c r="AK52" s="40">
        <f t="shared" si="22"/>
        <v>0</v>
      </c>
      <c r="AL52" s="40">
        <f t="shared" si="22"/>
        <v>0</v>
      </c>
      <c r="AM52" s="40">
        <f t="shared" si="22"/>
        <v>0</v>
      </c>
      <c r="AN52" s="40">
        <f t="shared" si="22"/>
        <v>0</v>
      </c>
      <c r="AO52" s="40">
        <f t="shared" si="22"/>
        <v>0</v>
      </c>
      <c r="AP52" s="40">
        <f t="shared" si="22"/>
        <v>0</v>
      </c>
      <c r="AQ52" s="40">
        <f t="shared" si="22"/>
        <v>0</v>
      </c>
      <c r="AR52" s="40">
        <f t="shared" si="22"/>
        <v>0</v>
      </c>
      <c r="AS52" s="40">
        <f t="shared" si="22"/>
        <v>0</v>
      </c>
      <c r="AT52" s="40">
        <f t="shared" si="23"/>
        <v>0</v>
      </c>
      <c r="AU52" s="40">
        <f t="shared" si="23"/>
        <v>0</v>
      </c>
      <c r="AV52" s="40">
        <f t="shared" si="23"/>
        <v>0</v>
      </c>
      <c r="AW52" s="40">
        <f t="shared" si="23"/>
        <v>0</v>
      </c>
      <c r="AX52" s="40">
        <f t="shared" si="23"/>
        <v>0</v>
      </c>
      <c r="AY52" s="40">
        <f t="shared" si="23"/>
        <v>0</v>
      </c>
      <c r="AZ52" s="40">
        <f t="shared" si="23"/>
        <v>0</v>
      </c>
      <c r="BA52" s="40">
        <f t="shared" si="23"/>
        <v>0</v>
      </c>
      <c r="BB52" s="40">
        <f t="shared" si="23"/>
        <v>0</v>
      </c>
      <c r="BC52" s="40">
        <f t="shared" si="23"/>
        <v>0</v>
      </c>
      <c r="BD52" s="40">
        <f t="shared" si="23"/>
        <v>0</v>
      </c>
      <c r="BG52" s="41">
        <f t="shared" si="29"/>
        <v>0</v>
      </c>
      <c r="BH52" s="41">
        <f t="shared" si="25"/>
        <v>0</v>
      </c>
      <c r="BI52" s="41">
        <f t="shared" si="26"/>
        <v>0</v>
      </c>
      <c r="BJ52" s="41">
        <f t="shared" si="27"/>
        <v>0</v>
      </c>
      <c r="BK52" s="41">
        <f t="shared" si="28"/>
        <v>0</v>
      </c>
    </row>
    <row r="53" spans="1:63" x14ac:dyDescent="0.25">
      <c r="A53" s="42"/>
      <c r="B53" s="43"/>
      <c r="C53" s="43"/>
      <c r="D53" s="42"/>
      <c r="E53" s="42"/>
      <c r="F53" s="44"/>
      <c r="G53" s="44"/>
      <c r="H53" s="39">
        <f t="shared" si="24"/>
        <v>0</v>
      </c>
      <c r="I53" s="40">
        <f t="shared" si="20"/>
        <v>0</v>
      </c>
      <c r="J53" s="40">
        <f t="shared" si="20"/>
        <v>0</v>
      </c>
      <c r="K53" s="40">
        <f t="shared" si="20"/>
        <v>0</v>
      </c>
      <c r="L53" s="40">
        <f t="shared" si="20"/>
        <v>0</v>
      </c>
      <c r="M53" s="40">
        <f t="shared" si="20"/>
        <v>0</v>
      </c>
      <c r="N53" s="40">
        <f t="shared" si="20"/>
        <v>0</v>
      </c>
      <c r="O53" s="40">
        <f t="shared" si="20"/>
        <v>0</v>
      </c>
      <c r="P53" s="40">
        <f t="shared" si="20"/>
        <v>0</v>
      </c>
      <c r="Q53" s="40">
        <f t="shared" si="20"/>
        <v>0</v>
      </c>
      <c r="R53" s="40">
        <f t="shared" si="20"/>
        <v>0</v>
      </c>
      <c r="S53" s="40">
        <f t="shared" si="20"/>
        <v>0</v>
      </c>
      <c r="T53" s="40">
        <f t="shared" si="20"/>
        <v>0</v>
      </c>
      <c r="U53" s="40">
        <f t="shared" si="20"/>
        <v>0</v>
      </c>
      <c r="V53" s="40">
        <f t="shared" si="20"/>
        <v>0</v>
      </c>
      <c r="W53" s="40">
        <f t="shared" si="20"/>
        <v>0</v>
      </c>
      <c r="X53" s="40">
        <f t="shared" si="20"/>
        <v>0</v>
      </c>
      <c r="Y53" s="40">
        <f t="shared" si="21"/>
        <v>0</v>
      </c>
      <c r="Z53" s="40">
        <f t="shared" si="21"/>
        <v>0</v>
      </c>
      <c r="AA53" s="40">
        <f t="shared" si="21"/>
        <v>0</v>
      </c>
      <c r="AB53" s="40">
        <f t="shared" si="21"/>
        <v>0</v>
      </c>
      <c r="AC53" s="40">
        <f t="shared" si="21"/>
        <v>0</v>
      </c>
      <c r="AD53" s="40">
        <f t="shared" si="22"/>
        <v>0</v>
      </c>
      <c r="AE53" s="40">
        <f t="shared" si="22"/>
        <v>0</v>
      </c>
      <c r="AF53" s="40">
        <f t="shared" si="22"/>
        <v>0</v>
      </c>
      <c r="AG53" s="40">
        <f t="shared" si="22"/>
        <v>0</v>
      </c>
      <c r="AH53" s="40">
        <f t="shared" si="22"/>
        <v>0</v>
      </c>
      <c r="AI53" s="40">
        <f t="shared" si="22"/>
        <v>0</v>
      </c>
      <c r="AJ53" s="40">
        <f t="shared" si="22"/>
        <v>0</v>
      </c>
      <c r="AK53" s="40">
        <f t="shared" si="22"/>
        <v>0</v>
      </c>
      <c r="AL53" s="40">
        <f t="shared" si="22"/>
        <v>0</v>
      </c>
      <c r="AM53" s="40">
        <f t="shared" si="22"/>
        <v>0</v>
      </c>
      <c r="AN53" s="40">
        <f t="shared" si="22"/>
        <v>0</v>
      </c>
      <c r="AO53" s="40">
        <f t="shared" si="22"/>
        <v>0</v>
      </c>
      <c r="AP53" s="40">
        <f t="shared" si="22"/>
        <v>0</v>
      </c>
      <c r="AQ53" s="40">
        <f t="shared" si="22"/>
        <v>0</v>
      </c>
      <c r="AR53" s="40">
        <f t="shared" si="22"/>
        <v>0</v>
      </c>
      <c r="AS53" s="40">
        <f t="shared" si="22"/>
        <v>0</v>
      </c>
      <c r="AT53" s="40">
        <f t="shared" si="23"/>
        <v>0</v>
      </c>
      <c r="AU53" s="40">
        <f t="shared" si="23"/>
        <v>0</v>
      </c>
      <c r="AV53" s="40">
        <f t="shared" si="23"/>
        <v>0</v>
      </c>
      <c r="AW53" s="40">
        <f t="shared" si="23"/>
        <v>0</v>
      </c>
      <c r="AX53" s="40">
        <f t="shared" si="23"/>
        <v>0</v>
      </c>
      <c r="AY53" s="40">
        <f t="shared" si="23"/>
        <v>0</v>
      </c>
      <c r="AZ53" s="40">
        <f t="shared" si="23"/>
        <v>0</v>
      </c>
      <c r="BA53" s="40">
        <f t="shared" si="23"/>
        <v>0</v>
      </c>
      <c r="BB53" s="40">
        <f t="shared" si="23"/>
        <v>0</v>
      </c>
      <c r="BC53" s="40">
        <f t="shared" si="23"/>
        <v>0</v>
      </c>
      <c r="BD53" s="40">
        <f t="shared" si="23"/>
        <v>0</v>
      </c>
      <c r="BG53" s="41">
        <f t="shared" si="29"/>
        <v>0</v>
      </c>
      <c r="BH53" s="41">
        <f t="shared" si="25"/>
        <v>0</v>
      </c>
      <c r="BI53" s="41">
        <f t="shared" si="26"/>
        <v>0</v>
      </c>
      <c r="BJ53" s="41">
        <f t="shared" si="27"/>
        <v>0</v>
      </c>
      <c r="BK53" s="41">
        <f t="shared" si="28"/>
        <v>0</v>
      </c>
    </row>
    <row r="54" spans="1:63" x14ac:dyDescent="0.25">
      <c r="A54" s="42"/>
      <c r="B54" s="43"/>
      <c r="C54" s="43"/>
      <c r="D54" s="42"/>
      <c r="E54" s="42"/>
      <c r="F54" s="44"/>
      <c r="G54" s="44"/>
      <c r="H54" s="39">
        <f t="shared" si="24"/>
        <v>0</v>
      </c>
      <c r="I54" s="40">
        <f t="shared" si="20"/>
        <v>0</v>
      </c>
      <c r="J54" s="40">
        <f t="shared" si="20"/>
        <v>0</v>
      </c>
      <c r="K54" s="40">
        <f t="shared" si="20"/>
        <v>0</v>
      </c>
      <c r="L54" s="40">
        <f t="shared" si="20"/>
        <v>0</v>
      </c>
      <c r="M54" s="40">
        <f t="shared" si="20"/>
        <v>0</v>
      </c>
      <c r="N54" s="40">
        <f t="shared" si="20"/>
        <v>0</v>
      </c>
      <c r="O54" s="40">
        <f t="shared" si="20"/>
        <v>0</v>
      </c>
      <c r="P54" s="40">
        <f t="shared" si="20"/>
        <v>0</v>
      </c>
      <c r="Q54" s="40">
        <f t="shared" si="20"/>
        <v>0</v>
      </c>
      <c r="R54" s="40">
        <f t="shared" si="20"/>
        <v>0</v>
      </c>
      <c r="S54" s="40">
        <f t="shared" si="20"/>
        <v>0</v>
      </c>
      <c r="T54" s="40">
        <f t="shared" si="20"/>
        <v>0</v>
      </c>
      <c r="U54" s="40">
        <f t="shared" si="20"/>
        <v>0</v>
      </c>
      <c r="V54" s="40">
        <f t="shared" si="20"/>
        <v>0</v>
      </c>
      <c r="W54" s="40">
        <f t="shared" si="20"/>
        <v>0</v>
      </c>
      <c r="X54" s="40">
        <f t="shared" si="20"/>
        <v>0</v>
      </c>
      <c r="Y54" s="40">
        <f t="shared" si="21"/>
        <v>0</v>
      </c>
      <c r="Z54" s="40">
        <f t="shared" si="21"/>
        <v>0</v>
      </c>
      <c r="AA54" s="40">
        <f t="shared" si="21"/>
        <v>0</v>
      </c>
      <c r="AB54" s="40">
        <f t="shared" si="21"/>
        <v>0</v>
      </c>
      <c r="AC54" s="40">
        <f t="shared" si="21"/>
        <v>0</v>
      </c>
      <c r="AD54" s="40">
        <f t="shared" si="22"/>
        <v>0</v>
      </c>
      <c r="AE54" s="40">
        <f t="shared" si="22"/>
        <v>0</v>
      </c>
      <c r="AF54" s="40">
        <f t="shared" si="22"/>
        <v>0</v>
      </c>
      <c r="AG54" s="40">
        <f t="shared" si="22"/>
        <v>0</v>
      </c>
      <c r="AH54" s="40">
        <f t="shared" si="22"/>
        <v>0</v>
      </c>
      <c r="AI54" s="40">
        <f t="shared" si="22"/>
        <v>0</v>
      </c>
      <c r="AJ54" s="40">
        <f t="shared" si="22"/>
        <v>0</v>
      </c>
      <c r="AK54" s="40">
        <f t="shared" si="22"/>
        <v>0</v>
      </c>
      <c r="AL54" s="40">
        <f t="shared" si="22"/>
        <v>0</v>
      </c>
      <c r="AM54" s="40">
        <f t="shared" si="22"/>
        <v>0</v>
      </c>
      <c r="AN54" s="40">
        <f t="shared" si="22"/>
        <v>0</v>
      </c>
      <c r="AO54" s="40">
        <f t="shared" si="22"/>
        <v>0</v>
      </c>
      <c r="AP54" s="40">
        <f t="shared" si="22"/>
        <v>0</v>
      </c>
      <c r="AQ54" s="40">
        <f t="shared" si="22"/>
        <v>0</v>
      </c>
      <c r="AR54" s="40">
        <f t="shared" si="22"/>
        <v>0</v>
      </c>
      <c r="AS54" s="40">
        <f t="shared" si="22"/>
        <v>0</v>
      </c>
      <c r="AT54" s="40">
        <f t="shared" si="23"/>
        <v>0</v>
      </c>
      <c r="AU54" s="40">
        <f t="shared" si="23"/>
        <v>0</v>
      </c>
      <c r="AV54" s="40">
        <f t="shared" si="23"/>
        <v>0</v>
      </c>
      <c r="AW54" s="40">
        <f t="shared" si="23"/>
        <v>0</v>
      </c>
      <c r="AX54" s="40">
        <f t="shared" si="23"/>
        <v>0</v>
      </c>
      <c r="AY54" s="40">
        <f t="shared" si="23"/>
        <v>0</v>
      </c>
      <c r="AZ54" s="40">
        <f t="shared" si="23"/>
        <v>0</v>
      </c>
      <c r="BA54" s="40">
        <f t="shared" si="23"/>
        <v>0</v>
      </c>
      <c r="BB54" s="40">
        <f t="shared" si="23"/>
        <v>0</v>
      </c>
      <c r="BC54" s="40">
        <f t="shared" si="23"/>
        <v>0</v>
      </c>
      <c r="BD54" s="40">
        <f t="shared" si="23"/>
        <v>0</v>
      </c>
      <c r="BG54" s="41">
        <f t="shared" si="29"/>
        <v>0</v>
      </c>
      <c r="BH54" s="41">
        <f t="shared" si="25"/>
        <v>0</v>
      </c>
      <c r="BI54" s="41">
        <f t="shared" si="26"/>
        <v>0</v>
      </c>
      <c r="BJ54" s="41">
        <f t="shared" si="27"/>
        <v>0</v>
      </c>
      <c r="BK54" s="41">
        <f t="shared" si="28"/>
        <v>0</v>
      </c>
    </row>
    <row r="55" spans="1:63" x14ac:dyDescent="0.25">
      <c r="A55" s="42"/>
      <c r="B55" s="43"/>
      <c r="C55" s="43"/>
      <c r="D55" s="42"/>
      <c r="E55" s="42"/>
      <c r="F55" s="44"/>
      <c r="G55" s="44"/>
      <c r="H55" s="39">
        <f t="shared" si="24"/>
        <v>0</v>
      </c>
      <c r="I55" s="40">
        <f t="shared" si="20"/>
        <v>0</v>
      </c>
      <c r="J55" s="40">
        <f t="shared" si="20"/>
        <v>0</v>
      </c>
      <c r="K55" s="40">
        <f t="shared" si="20"/>
        <v>0</v>
      </c>
      <c r="L55" s="40">
        <f t="shared" si="20"/>
        <v>0</v>
      </c>
      <c r="M55" s="40">
        <f t="shared" si="20"/>
        <v>0</v>
      </c>
      <c r="N55" s="40">
        <f t="shared" si="20"/>
        <v>0</v>
      </c>
      <c r="O55" s="40">
        <f t="shared" si="20"/>
        <v>0</v>
      </c>
      <c r="P55" s="40">
        <f t="shared" si="20"/>
        <v>0</v>
      </c>
      <c r="Q55" s="40">
        <f t="shared" si="20"/>
        <v>0</v>
      </c>
      <c r="R55" s="40">
        <f t="shared" si="20"/>
        <v>0</v>
      </c>
      <c r="S55" s="40">
        <f t="shared" si="20"/>
        <v>0</v>
      </c>
      <c r="T55" s="40">
        <f t="shared" si="20"/>
        <v>0</v>
      </c>
      <c r="U55" s="40">
        <f t="shared" si="20"/>
        <v>0</v>
      </c>
      <c r="V55" s="40">
        <f t="shared" si="20"/>
        <v>0</v>
      </c>
      <c r="W55" s="40">
        <f t="shared" si="20"/>
        <v>0</v>
      </c>
      <c r="X55" s="40">
        <f t="shared" si="20"/>
        <v>0</v>
      </c>
      <c r="Y55" s="40">
        <f t="shared" si="21"/>
        <v>0</v>
      </c>
      <c r="Z55" s="40">
        <f t="shared" si="21"/>
        <v>0</v>
      </c>
      <c r="AA55" s="40">
        <f t="shared" si="21"/>
        <v>0</v>
      </c>
      <c r="AB55" s="40">
        <f t="shared" si="21"/>
        <v>0</v>
      </c>
      <c r="AC55" s="40">
        <f t="shared" si="21"/>
        <v>0</v>
      </c>
      <c r="AD55" s="40">
        <f t="shared" si="22"/>
        <v>0</v>
      </c>
      <c r="AE55" s="40">
        <f t="shared" si="22"/>
        <v>0</v>
      </c>
      <c r="AF55" s="40">
        <f t="shared" si="22"/>
        <v>0</v>
      </c>
      <c r="AG55" s="40">
        <f t="shared" si="22"/>
        <v>0</v>
      </c>
      <c r="AH55" s="40">
        <f t="shared" si="22"/>
        <v>0</v>
      </c>
      <c r="AI55" s="40">
        <f t="shared" si="22"/>
        <v>0</v>
      </c>
      <c r="AJ55" s="40">
        <f t="shared" si="22"/>
        <v>0</v>
      </c>
      <c r="AK55" s="40">
        <f t="shared" si="22"/>
        <v>0</v>
      </c>
      <c r="AL55" s="40">
        <f t="shared" si="22"/>
        <v>0</v>
      </c>
      <c r="AM55" s="40">
        <f t="shared" si="22"/>
        <v>0</v>
      </c>
      <c r="AN55" s="40">
        <f t="shared" si="22"/>
        <v>0</v>
      </c>
      <c r="AO55" s="40">
        <f t="shared" si="22"/>
        <v>0</v>
      </c>
      <c r="AP55" s="40">
        <f t="shared" si="22"/>
        <v>0</v>
      </c>
      <c r="AQ55" s="40">
        <f t="shared" si="22"/>
        <v>0</v>
      </c>
      <c r="AR55" s="40">
        <f t="shared" si="22"/>
        <v>0</v>
      </c>
      <c r="AS55" s="40">
        <f t="shared" si="22"/>
        <v>0</v>
      </c>
      <c r="AT55" s="40">
        <f t="shared" si="23"/>
        <v>0</v>
      </c>
      <c r="AU55" s="40">
        <f t="shared" si="23"/>
        <v>0</v>
      </c>
      <c r="AV55" s="40">
        <f t="shared" si="23"/>
        <v>0</v>
      </c>
      <c r="AW55" s="40">
        <f t="shared" si="23"/>
        <v>0</v>
      </c>
      <c r="AX55" s="40">
        <f t="shared" si="23"/>
        <v>0</v>
      </c>
      <c r="AY55" s="40">
        <f t="shared" si="23"/>
        <v>0</v>
      </c>
      <c r="AZ55" s="40">
        <f t="shared" si="23"/>
        <v>0</v>
      </c>
      <c r="BA55" s="40">
        <f t="shared" si="23"/>
        <v>0</v>
      </c>
      <c r="BB55" s="40">
        <f t="shared" si="23"/>
        <v>0</v>
      </c>
      <c r="BC55" s="40">
        <f t="shared" si="23"/>
        <v>0</v>
      </c>
      <c r="BD55" s="40">
        <f t="shared" si="23"/>
        <v>0</v>
      </c>
      <c r="BG55" s="41">
        <f t="shared" si="29"/>
        <v>0</v>
      </c>
      <c r="BH55" s="41">
        <f t="shared" si="25"/>
        <v>0</v>
      </c>
      <c r="BI55" s="41">
        <f t="shared" si="26"/>
        <v>0</v>
      </c>
      <c r="BJ55" s="41">
        <f t="shared" si="27"/>
        <v>0</v>
      </c>
      <c r="BK55" s="41">
        <f t="shared" si="28"/>
        <v>0</v>
      </c>
    </row>
    <row r="56" spans="1:63" x14ac:dyDescent="0.25">
      <c r="A56" s="42"/>
      <c r="B56" s="43"/>
      <c r="C56" s="43"/>
      <c r="D56" s="42"/>
      <c r="E56" s="42"/>
      <c r="F56" s="44"/>
      <c r="G56" s="44"/>
      <c r="H56" s="39">
        <f t="shared" si="24"/>
        <v>0</v>
      </c>
      <c r="I56" s="40">
        <f t="shared" si="20"/>
        <v>0</v>
      </c>
      <c r="J56" s="40">
        <f t="shared" si="20"/>
        <v>0</v>
      </c>
      <c r="K56" s="40">
        <f t="shared" si="20"/>
        <v>0</v>
      </c>
      <c r="L56" s="40">
        <f t="shared" si="20"/>
        <v>0</v>
      </c>
      <c r="M56" s="40">
        <f t="shared" si="20"/>
        <v>0</v>
      </c>
      <c r="N56" s="40">
        <f t="shared" si="20"/>
        <v>0</v>
      </c>
      <c r="O56" s="40">
        <f t="shared" si="20"/>
        <v>0</v>
      </c>
      <c r="P56" s="40">
        <f t="shared" si="20"/>
        <v>0</v>
      </c>
      <c r="Q56" s="40">
        <f t="shared" si="20"/>
        <v>0</v>
      </c>
      <c r="R56" s="40">
        <f t="shared" si="20"/>
        <v>0</v>
      </c>
      <c r="S56" s="40">
        <f t="shared" si="20"/>
        <v>0</v>
      </c>
      <c r="T56" s="40">
        <f t="shared" si="20"/>
        <v>0</v>
      </c>
      <c r="U56" s="40">
        <f t="shared" si="20"/>
        <v>0</v>
      </c>
      <c r="V56" s="40">
        <f t="shared" si="20"/>
        <v>0</v>
      </c>
      <c r="W56" s="40">
        <f t="shared" si="20"/>
        <v>0</v>
      </c>
      <c r="X56" s="40">
        <f t="shared" si="20"/>
        <v>0</v>
      </c>
      <c r="Y56" s="40">
        <f t="shared" si="21"/>
        <v>0</v>
      </c>
      <c r="Z56" s="40">
        <f t="shared" si="21"/>
        <v>0</v>
      </c>
      <c r="AA56" s="40">
        <f t="shared" si="21"/>
        <v>0</v>
      </c>
      <c r="AB56" s="40">
        <f t="shared" si="21"/>
        <v>0</v>
      </c>
      <c r="AC56" s="40">
        <f t="shared" si="21"/>
        <v>0</v>
      </c>
      <c r="AD56" s="40">
        <f t="shared" si="22"/>
        <v>0</v>
      </c>
      <c r="AE56" s="40">
        <f t="shared" si="22"/>
        <v>0</v>
      </c>
      <c r="AF56" s="40">
        <f t="shared" si="22"/>
        <v>0</v>
      </c>
      <c r="AG56" s="40">
        <f t="shared" si="22"/>
        <v>0</v>
      </c>
      <c r="AH56" s="40">
        <f t="shared" si="22"/>
        <v>0</v>
      </c>
      <c r="AI56" s="40">
        <f t="shared" si="22"/>
        <v>0</v>
      </c>
      <c r="AJ56" s="40">
        <f t="shared" si="22"/>
        <v>0</v>
      </c>
      <c r="AK56" s="40">
        <f t="shared" si="22"/>
        <v>0</v>
      </c>
      <c r="AL56" s="40">
        <f t="shared" si="22"/>
        <v>0</v>
      </c>
      <c r="AM56" s="40">
        <f t="shared" si="22"/>
        <v>0</v>
      </c>
      <c r="AN56" s="40">
        <f t="shared" si="22"/>
        <v>0</v>
      </c>
      <c r="AO56" s="40">
        <f t="shared" si="22"/>
        <v>0</v>
      </c>
      <c r="AP56" s="40">
        <f t="shared" si="22"/>
        <v>0</v>
      </c>
      <c r="AQ56" s="40">
        <f t="shared" si="22"/>
        <v>0</v>
      </c>
      <c r="AR56" s="40">
        <f t="shared" si="22"/>
        <v>0</v>
      </c>
      <c r="AS56" s="40">
        <f t="shared" si="22"/>
        <v>0</v>
      </c>
      <c r="AT56" s="40">
        <f t="shared" si="23"/>
        <v>0</v>
      </c>
      <c r="AU56" s="40">
        <f t="shared" si="23"/>
        <v>0</v>
      </c>
      <c r="AV56" s="40">
        <f t="shared" si="23"/>
        <v>0</v>
      </c>
      <c r="AW56" s="40">
        <f t="shared" si="23"/>
        <v>0</v>
      </c>
      <c r="AX56" s="40">
        <f t="shared" si="23"/>
        <v>0</v>
      </c>
      <c r="AY56" s="40">
        <f t="shared" si="23"/>
        <v>0</v>
      </c>
      <c r="AZ56" s="40">
        <f t="shared" si="23"/>
        <v>0</v>
      </c>
      <c r="BA56" s="40">
        <f t="shared" si="23"/>
        <v>0</v>
      </c>
      <c r="BB56" s="40">
        <f t="shared" si="23"/>
        <v>0</v>
      </c>
      <c r="BC56" s="40">
        <f t="shared" si="23"/>
        <v>0</v>
      </c>
      <c r="BD56" s="40">
        <f t="shared" si="23"/>
        <v>0</v>
      </c>
      <c r="BG56" s="41">
        <f t="shared" si="29"/>
        <v>0</v>
      </c>
      <c r="BH56" s="41">
        <f t="shared" si="25"/>
        <v>0</v>
      </c>
      <c r="BI56" s="41">
        <f t="shared" si="26"/>
        <v>0</v>
      </c>
      <c r="BJ56" s="41">
        <f t="shared" si="27"/>
        <v>0</v>
      </c>
      <c r="BK56" s="41">
        <f t="shared" si="28"/>
        <v>0</v>
      </c>
    </row>
    <row r="57" spans="1:63" x14ac:dyDescent="0.25">
      <c r="A57" s="42"/>
      <c r="B57" s="43"/>
      <c r="C57" s="43"/>
      <c r="D57" s="42"/>
      <c r="E57" s="42"/>
      <c r="F57" s="44"/>
      <c r="G57" s="44"/>
      <c r="H57" s="39">
        <f t="shared" si="24"/>
        <v>0</v>
      </c>
      <c r="I57" s="40">
        <f t="shared" si="20"/>
        <v>0</v>
      </c>
      <c r="J57" s="40">
        <f t="shared" si="20"/>
        <v>0</v>
      </c>
      <c r="K57" s="40">
        <f t="shared" si="20"/>
        <v>0</v>
      </c>
      <c r="L57" s="40">
        <f t="shared" si="20"/>
        <v>0</v>
      </c>
      <c r="M57" s="40">
        <f t="shared" si="20"/>
        <v>0</v>
      </c>
      <c r="N57" s="40">
        <f t="shared" si="20"/>
        <v>0</v>
      </c>
      <c r="O57" s="40">
        <f t="shared" si="20"/>
        <v>0</v>
      </c>
      <c r="P57" s="40">
        <f t="shared" si="20"/>
        <v>0</v>
      </c>
      <c r="Q57" s="40">
        <f t="shared" si="20"/>
        <v>0</v>
      </c>
      <c r="R57" s="40">
        <f t="shared" si="20"/>
        <v>0</v>
      </c>
      <c r="S57" s="40">
        <f t="shared" si="20"/>
        <v>0</v>
      </c>
      <c r="T57" s="40">
        <f t="shared" si="20"/>
        <v>0</v>
      </c>
      <c r="U57" s="40">
        <f t="shared" si="20"/>
        <v>0</v>
      </c>
      <c r="V57" s="40">
        <f t="shared" si="20"/>
        <v>0</v>
      </c>
      <c r="W57" s="40">
        <f t="shared" si="20"/>
        <v>0</v>
      </c>
      <c r="X57" s="40">
        <f t="shared" si="20"/>
        <v>0</v>
      </c>
      <c r="Y57" s="40">
        <f t="shared" si="21"/>
        <v>0</v>
      </c>
      <c r="Z57" s="40">
        <f t="shared" si="21"/>
        <v>0</v>
      </c>
      <c r="AA57" s="40">
        <f t="shared" si="21"/>
        <v>0</v>
      </c>
      <c r="AB57" s="40">
        <f t="shared" si="21"/>
        <v>0</v>
      </c>
      <c r="AC57" s="40">
        <f t="shared" si="21"/>
        <v>0</v>
      </c>
      <c r="AD57" s="40">
        <f t="shared" si="22"/>
        <v>0</v>
      </c>
      <c r="AE57" s="40">
        <f t="shared" si="22"/>
        <v>0</v>
      </c>
      <c r="AF57" s="40">
        <f t="shared" si="22"/>
        <v>0</v>
      </c>
      <c r="AG57" s="40">
        <f t="shared" si="22"/>
        <v>0</v>
      </c>
      <c r="AH57" s="40">
        <f t="shared" si="22"/>
        <v>0</v>
      </c>
      <c r="AI57" s="40">
        <f t="shared" si="22"/>
        <v>0</v>
      </c>
      <c r="AJ57" s="40">
        <f t="shared" si="22"/>
        <v>0</v>
      </c>
      <c r="AK57" s="40">
        <f t="shared" si="22"/>
        <v>0</v>
      </c>
      <c r="AL57" s="40">
        <f t="shared" si="22"/>
        <v>0</v>
      </c>
      <c r="AM57" s="40">
        <f t="shared" si="22"/>
        <v>0</v>
      </c>
      <c r="AN57" s="40">
        <f t="shared" si="22"/>
        <v>0</v>
      </c>
      <c r="AO57" s="40">
        <f t="shared" si="22"/>
        <v>0</v>
      </c>
      <c r="AP57" s="40">
        <f t="shared" si="22"/>
        <v>0</v>
      </c>
      <c r="AQ57" s="40">
        <f t="shared" si="22"/>
        <v>0</v>
      </c>
      <c r="AR57" s="40">
        <f t="shared" si="22"/>
        <v>0</v>
      </c>
      <c r="AS57" s="40">
        <f t="shared" si="22"/>
        <v>0</v>
      </c>
      <c r="AT57" s="40">
        <f t="shared" si="23"/>
        <v>0</v>
      </c>
      <c r="AU57" s="40">
        <f t="shared" si="23"/>
        <v>0</v>
      </c>
      <c r="AV57" s="40">
        <f t="shared" si="23"/>
        <v>0</v>
      </c>
      <c r="AW57" s="40">
        <f t="shared" si="23"/>
        <v>0</v>
      </c>
      <c r="AX57" s="40">
        <f t="shared" si="23"/>
        <v>0</v>
      </c>
      <c r="AY57" s="40">
        <f t="shared" si="23"/>
        <v>0</v>
      </c>
      <c r="AZ57" s="40">
        <f t="shared" si="23"/>
        <v>0</v>
      </c>
      <c r="BA57" s="40">
        <f t="shared" si="23"/>
        <v>0</v>
      </c>
      <c r="BB57" s="40">
        <f t="shared" si="23"/>
        <v>0</v>
      </c>
      <c r="BC57" s="40">
        <f t="shared" si="23"/>
        <v>0</v>
      </c>
      <c r="BD57" s="40">
        <f t="shared" si="23"/>
        <v>0</v>
      </c>
      <c r="BG57" s="41">
        <f t="shared" si="29"/>
        <v>0</v>
      </c>
      <c r="BH57" s="41">
        <f t="shared" si="25"/>
        <v>0</v>
      </c>
      <c r="BI57" s="41">
        <f t="shared" si="26"/>
        <v>0</v>
      </c>
      <c r="BJ57" s="41">
        <f t="shared" si="27"/>
        <v>0</v>
      </c>
      <c r="BK57" s="41">
        <f t="shared" si="28"/>
        <v>0</v>
      </c>
    </row>
    <row r="58" spans="1:63" x14ac:dyDescent="0.25">
      <c r="A58" s="42"/>
      <c r="B58" s="43"/>
      <c r="C58" s="43"/>
      <c r="D58" s="42"/>
      <c r="E58" s="42"/>
      <c r="F58" s="44"/>
      <c r="G58" s="44"/>
      <c r="H58" s="39">
        <f t="shared" si="24"/>
        <v>0</v>
      </c>
      <c r="I58" s="40">
        <f t="shared" si="20"/>
        <v>0</v>
      </c>
      <c r="J58" s="40">
        <f t="shared" si="20"/>
        <v>0</v>
      </c>
      <c r="K58" s="40">
        <f t="shared" si="20"/>
        <v>0</v>
      </c>
      <c r="L58" s="40">
        <f t="shared" si="20"/>
        <v>0</v>
      </c>
      <c r="M58" s="40">
        <f t="shared" si="20"/>
        <v>0</v>
      </c>
      <c r="N58" s="40">
        <f t="shared" si="20"/>
        <v>0</v>
      </c>
      <c r="O58" s="40">
        <f t="shared" si="20"/>
        <v>0</v>
      </c>
      <c r="P58" s="40">
        <f t="shared" si="20"/>
        <v>0</v>
      </c>
      <c r="Q58" s="40">
        <f t="shared" si="20"/>
        <v>0</v>
      </c>
      <c r="R58" s="40">
        <f t="shared" si="20"/>
        <v>0</v>
      </c>
      <c r="S58" s="40">
        <f t="shared" si="20"/>
        <v>0</v>
      </c>
      <c r="T58" s="40">
        <f t="shared" si="20"/>
        <v>0</v>
      </c>
      <c r="U58" s="40">
        <f t="shared" si="20"/>
        <v>0</v>
      </c>
      <c r="V58" s="40">
        <f t="shared" si="20"/>
        <v>0</v>
      </c>
      <c r="W58" s="40">
        <f t="shared" si="20"/>
        <v>0</v>
      </c>
      <c r="X58" s="40">
        <f t="shared" si="20"/>
        <v>0</v>
      </c>
      <c r="Y58" s="40">
        <f t="shared" si="21"/>
        <v>0</v>
      </c>
      <c r="Z58" s="40">
        <f t="shared" si="21"/>
        <v>0</v>
      </c>
      <c r="AA58" s="40">
        <f t="shared" si="21"/>
        <v>0</v>
      </c>
      <c r="AB58" s="40">
        <f t="shared" si="21"/>
        <v>0</v>
      </c>
      <c r="AC58" s="40">
        <f t="shared" si="21"/>
        <v>0</v>
      </c>
      <c r="AD58" s="40">
        <f t="shared" si="22"/>
        <v>0</v>
      </c>
      <c r="AE58" s="40">
        <f t="shared" si="22"/>
        <v>0</v>
      </c>
      <c r="AF58" s="40">
        <f t="shared" si="22"/>
        <v>0</v>
      </c>
      <c r="AG58" s="40">
        <f t="shared" si="22"/>
        <v>0</v>
      </c>
      <c r="AH58" s="40">
        <f t="shared" si="22"/>
        <v>0</v>
      </c>
      <c r="AI58" s="40">
        <f t="shared" si="22"/>
        <v>0</v>
      </c>
      <c r="AJ58" s="40">
        <f t="shared" si="22"/>
        <v>0</v>
      </c>
      <c r="AK58" s="40">
        <f t="shared" si="22"/>
        <v>0</v>
      </c>
      <c r="AL58" s="40">
        <f t="shared" si="22"/>
        <v>0</v>
      </c>
      <c r="AM58" s="40">
        <f t="shared" si="22"/>
        <v>0</v>
      </c>
      <c r="AN58" s="40">
        <f t="shared" si="22"/>
        <v>0</v>
      </c>
      <c r="AO58" s="40">
        <f t="shared" si="22"/>
        <v>0</v>
      </c>
      <c r="AP58" s="40">
        <f t="shared" si="22"/>
        <v>0</v>
      </c>
      <c r="AQ58" s="40">
        <f t="shared" si="22"/>
        <v>0</v>
      </c>
      <c r="AR58" s="40">
        <f t="shared" si="22"/>
        <v>0</v>
      </c>
      <c r="AS58" s="40">
        <f t="shared" si="22"/>
        <v>0</v>
      </c>
      <c r="AT58" s="40">
        <f t="shared" si="23"/>
        <v>0</v>
      </c>
      <c r="AU58" s="40">
        <f t="shared" si="23"/>
        <v>0</v>
      </c>
      <c r="AV58" s="40">
        <f t="shared" si="23"/>
        <v>0</v>
      </c>
      <c r="AW58" s="40">
        <f t="shared" si="23"/>
        <v>0</v>
      </c>
      <c r="AX58" s="40">
        <f t="shared" si="23"/>
        <v>0</v>
      </c>
      <c r="AY58" s="40">
        <f t="shared" si="23"/>
        <v>0</v>
      </c>
      <c r="AZ58" s="40">
        <f t="shared" si="23"/>
        <v>0</v>
      </c>
      <c r="BA58" s="40">
        <f t="shared" si="23"/>
        <v>0</v>
      </c>
      <c r="BB58" s="40">
        <f t="shared" si="23"/>
        <v>0</v>
      </c>
      <c r="BC58" s="40">
        <f t="shared" si="23"/>
        <v>0</v>
      </c>
      <c r="BD58" s="40">
        <f t="shared" si="23"/>
        <v>0</v>
      </c>
      <c r="BG58" s="41">
        <f t="shared" si="29"/>
        <v>0</v>
      </c>
      <c r="BH58" s="41">
        <f t="shared" si="25"/>
        <v>0</v>
      </c>
      <c r="BI58" s="41">
        <f t="shared" si="26"/>
        <v>0</v>
      </c>
      <c r="BJ58" s="41">
        <f t="shared" si="27"/>
        <v>0</v>
      </c>
      <c r="BK58" s="41">
        <f t="shared" si="28"/>
        <v>0</v>
      </c>
    </row>
    <row r="59" spans="1:63" x14ac:dyDescent="0.25">
      <c r="A59" s="42"/>
      <c r="B59" s="43"/>
      <c r="C59" s="43"/>
      <c r="D59" s="42"/>
      <c r="E59" s="42"/>
      <c r="F59" s="44"/>
      <c r="G59" s="44"/>
      <c r="H59" s="39">
        <f t="shared" si="24"/>
        <v>0</v>
      </c>
      <c r="I59" s="40">
        <f t="shared" si="20"/>
        <v>0</v>
      </c>
      <c r="J59" s="40">
        <f t="shared" si="20"/>
        <v>0</v>
      </c>
      <c r="K59" s="40">
        <f t="shared" si="20"/>
        <v>0</v>
      </c>
      <c r="L59" s="40">
        <f t="shared" si="20"/>
        <v>0</v>
      </c>
      <c r="M59" s="40">
        <f t="shared" si="20"/>
        <v>0</v>
      </c>
      <c r="N59" s="40">
        <f t="shared" si="20"/>
        <v>0</v>
      </c>
      <c r="O59" s="40">
        <f t="shared" si="20"/>
        <v>0</v>
      </c>
      <c r="P59" s="40">
        <f t="shared" si="20"/>
        <v>0</v>
      </c>
      <c r="Q59" s="40">
        <f t="shared" si="20"/>
        <v>0</v>
      </c>
      <c r="R59" s="40">
        <f t="shared" si="20"/>
        <v>0</v>
      </c>
      <c r="S59" s="40">
        <f t="shared" si="20"/>
        <v>0</v>
      </c>
      <c r="T59" s="40">
        <f t="shared" si="20"/>
        <v>0</v>
      </c>
      <c r="U59" s="40">
        <f t="shared" si="20"/>
        <v>0</v>
      </c>
      <c r="V59" s="40">
        <f t="shared" si="20"/>
        <v>0</v>
      </c>
      <c r="W59" s="40">
        <f t="shared" si="20"/>
        <v>0</v>
      </c>
      <c r="X59" s="40">
        <f t="shared" si="20"/>
        <v>0</v>
      </c>
      <c r="Y59" s="40">
        <f t="shared" si="21"/>
        <v>0</v>
      </c>
      <c r="Z59" s="40">
        <f t="shared" si="21"/>
        <v>0</v>
      </c>
      <c r="AA59" s="40">
        <f t="shared" si="21"/>
        <v>0</v>
      </c>
      <c r="AB59" s="40">
        <f t="shared" si="21"/>
        <v>0</v>
      </c>
      <c r="AC59" s="40">
        <f t="shared" si="21"/>
        <v>0</v>
      </c>
      <c r="AD59" s="40">
        <f t="shared" si="22"/>
        <v>0</v>
      </c>
      <c r="AE59" s="40">
        <f t="shared" si="22"/>
        <v>0</v>
      </c>
      <c r="AF59" s="40">
        <f t="shared" si="22"/>
        <v>0</v>
      </c>
      <c r="AG59" s="40">
        <f t="shared" si="22"/>
        <v>0</v>
      </c>
      <c r="AH59" s="40">
        <f t="shared" si="22"/>
        <v>0</v>
      </c>
      <c r="AI59" s="40">
        <f t="shared" si="22"/>
        <v>0</v>
      </c>
      <c r="AJ59" s="40">
        <f t="shared" si="22"/>
        <v>0</v>
      </c>
      <c r="AK59" s="40">
        <f t="shared" si="22"/>
        <v>0</v>
      </c>
      <c r="AL59" s="40">
        <f t="shared" si="22"/>
        <v>0</v>
      </c>
      <c r="AM59" s="40">
        <f t="shared" si="22"/>
        <v>0</v>
      </c>
      <c r="AN59" s="40">
        <f t="shared" si="22"/>
        <v>0</v>
      </c>
      <c r="AO59" s="40">
        <f t="shared" si="22"/>
        <v>0</v>
      </c>
      <c r="AP59" s="40">
        <f t="shared" si="22"/>
        <v>0</v>
      </c>
      <c r="AQ59" s="40">
        <f t="shared" si="22"/>
        <v>0</v>
      </c>
      <c r="AR59" s="40">
        <f t="shared" si="22"/>
        <v>0</v>
      </c>
      <c r="AS59" s="40">
        <f t="shared" si="22"/>
        <v>0</v>
      </c>
      <c r="AT59" s="40">
        <f t="shared" si="23"/>
        <v>0</v>
      </c>
      <c r="AU59" s="40">
        <f t="shared" si="23"/>
        <v>0</v>
      </c>
      <c r="AV59" s="40">
        <f t="shared" si="23"/>
        <v>0</v>
      </c>
      <c r="AW59" s="40">
        <f t="shared" si="23"/>
        <v>0</v>
      </c>
      <c r="AX59" s="40">
        <f t="shared" si="23"/>
        <v>0</v>
      </c>
      <c r="AY59" s="40">
        <f t="shared" si="23"/>
        <v>0</v>
      </c>
      <c r="AZ59" s="40">
        <f t="shared" si="23"/>
        <v>0</v>
      </c>
      <c r="BA59" s="40">
        <f t="shared" si="23"/>
        <v>0</v>
      </c>
      <c r="BB59" s="40">
        <f t="shared" si="23"/>
        <v>0</v>
      </c>
      <c r="BC59" s="40">
        <f t="shared" si="23"/>
        <v>0</v>
      </c>
      <c r="BD59" s="40">
        <f t="shared" si="23"/>
        <v>0</v>
      </c>
      <c r="BG59" s="41">
        <f t="shared" si="29"/>
        <v>0</v>
      </c>
      <c r="BH59" s="41">
        <f t="shared" si="25"/>
        <v>0</v>
      </c>
      <c r="BI59" s="41">
        <f t="shared" si="26"/>
        <v>0</v>
      </c>
      <c r="BJ59" s="41">
        <f t="shared" si="27"/>
        <v>0</v>
      </c>
      <c r="BK59" s="41">
        <f t="shared" si="28"/>
        <v>0</v>
      </c>
    </row>
    <row r="60" spans="1:63" x14ac:dyDescent="0.25">
      <c r="A60" s="42"/>
      <c r="B60" s="43"/>
      <c r="C60" s="43"/>
      <c r="D60" s="42"/>
      <c r="E60" s="42"/>
      <c r="F60" s="44"/>
      <c r="G60" s="44"/>
      <c r="H60" s="39">
        <f t="shared" si="24"/>
        <v>0</v>
      </c>
      <c r="I60" s="40">
        <f t="shared" si="20"/>
        <v>0</v>
      </c>
      <c r="J60" s="40">
        <f t="shared" si="20"/>
        <v>0</v>
      </c>
      <c r="K60" s="40">
        <f t="shared" si="20"/>
        <v>0</v>
      </c>
      <c r="L60" s="40">
        <f t="shared" si="20"/>
        <v>0</v>
      </c>
      <c r="M60" s="40">
        <f t="shared" si="20"/>
        <v>0</v>
      </c>
      <c r="N60" s="40">
        <f t="shared" si="20"/>
        <v>0</v>
      </c>
      <c r="O60" s="40">
        <f t="shared" si="20"/>
        <v>0</v>
      </c>
      <c r="P60" s="40">
        <f t="shared" si="20"/>
        <v>0</v>
      </c>
      <c r="Q60" s="40">
        <f t="shared" si="20"/>
        <v>0</v>
      </c>
      <c r="R60" s="40">
        <f t="shared" si="20"/>
        <v>0</v>
      </c>
      <c r="S60" s="40">
        <f t="shared" si="20"/>
        <v>0</v>
      </c>
      <c r="T60" s="40">
        <f t="shared" si="20"/>
        <v>0</v>
      </c>
      <c r="U60" s="40">
        <f t="shared" si="20"/>
        <v>0</v>
      </c>
      <c r="V60" s="40">
        <f t="shared" si="20"/>
        <v>0</v>
      </c>
      <c r="W60" s="40">
        <f t="shared" si="20"/>
        <v>0</v>
      </c>
      <c r="X60" s="40">
        <f t="shared" si="20"/>
        <v>0</v>
      </c>
      <c r="Y60" s="40">
        <f t="shared" si="21"/>
        <v>0</v>
      </c>
      <c r="Z60" s="40">
        <f t="shared" si="21"/>
        <v>0</v>
      </c>
      <c r="AA60" s="40">
        <f t="shared" si="21"/>
        <v>0</v>
      </c>
      <c r="AB60" s="40">
        <f t="shared" si="21"/>
        <v>0</v>
      </c>
      <c r="AC60" s="40">
        <f t="shared" si="21"/>
        <v>0</v>
      </c>
      <c r="AD60" s="40">
        <f t="shared" si="22"/>
        <v>0</v>
      </c>
      <c r="AE60" s="40">
        <f t="shared" si="22"/>
        <v>0</v>
      </c>
      <c r="AF60" s="40">
        <f t="shared" si="22"/>
        <v>0</v>
      </c>
      <c r="AG60" s="40">
        <f t="shared" si="22"/>
        <v>0</v>
      </c>
      <c r="AH60" s="40">
        <f t="shared" si="22"/>
        <v>0</v>
      </c>
      <c r="AI60" s="40">
        <f t="shared" si="22"/>
        <v>0</v>
      </c>
      <c r="AJ60" s="40">
        <f t="shared" si="22"/>
        <v>0</v>
      </c>
      <c r="AK60" s="40">
        <f t="shared" si="22"/>
        <v>0</v>
      </c>
      <c r="AL60" s="40">
        <f t="shared" si="22"/>
        <v>0</v>
      </c>
      <c r="AM60" s="40">
        <f t="shared" si="22"/>
        <v>0</v>
      </c>
      <c r="AN60" s="40">
        <f t="shared" si="22"/>
        <v>0</v>
      </c>
      <c r="AO60" s="40">
        <f t="shared" si="22"/>
        <v>0</v>
      </c>
      <c r="AP60" s="40">
        <f t="shared" si="22"/>
        <v>0</v>
      </c>
      <c r="AQ60" s="40">
        <f t="shared" si="22"/>
        <v>0</v>
      </c>
      <c r="AR60" s="40">
        <f t="shared" si="22"/>
        <v>0</v>
      </c>
      <c r="AS60" s="40">
        <f t="shared" ref="AN60:BC64" si="35">IF($G60="",0,IF(AM60="werk",IF($G60&gt;$F60,IF(AND($F60&lt;AT$9,$G60&gt;AT$9),0.5,0),IF(OR($F60&lt;AT$9,$G60&gt;AT$9),0.5,0)),IF($G60&gt;$F60,IF(AND($F60&lt;AT$9,$G60&gt;AT$9),0.5,0),IF(OR($F60&lt;AT$9,$G60&gt;=AT$9),0.25,0))))</f>
        <v>0</v>
      </c>
      <c r="AT60" s="40">
        <f t="shared" si="35"/>
        <v>0</v>
      </c>
      <c r="AU60" s="40">
        <f t="shared" si="35"/>
        <v>0</v>
      </c>
      <c r="AV60" s="40">
        <f t="shared" si="35"/>
        <v>0</v>
      </c>
      <c r="AW60" s="40">
        <f t="shared" si="35"/>
        <v>0</v>
      </c>
      <c r="AX60" s="40">
        <f t="shared" si="35"/>
        <v>0</v>
      </c>
      <c r="AY60" s="40">
        <f t="shared" si="35"/>
        <v>0</v>
      </c>
      <c r="AZ60" s="40">
        <f t="shared" si="35"/>
        <v>0</v>
      </c>
      <c r="BA60" s="40">
        <f t="shared" si="35"/>
        <v>0</v>
      </c>
      <c r="BB60" s="40">
        <f t="shared" si="35"/>
        <v>0</v>
      </c>
      <c r="BC60" s="40">
        <f t="shared" si="23"/>
        <v>0</v>
      </c>
      <c r="BD60" s="40">
        <f t="shared" si="23"/>
        <v>0</v>
      </c>
      <c r="BG60" s="41">
        <f t="shared" si="29"/>
        <v>0</v>
      </c>
      <c r="BH60" s="41">
        <f t="shared" si="25"/>
        <v>0</v>
      </c>
      <c r="BI60" s="41">
        <f t="shared" si="26"/>
        <v>0</v>
      </c>
      <c r="BJ60" s="41">
        <f t="shared" si="27"/>
        <v>0</v>
      </c>
      <c r="BK60" s="41">
        <f t="shared" si="28"/>
        <v>0</v>
      </c>
    </row>
    <row r="61" spans="1:63" x14ac:dyDescent="0.25">
      <c r="A61" s="42"/>
      <c r="B61" s="43"/>
      <c r="C61" s="43"/>
      <c r="D61" s="42"/>
      <c r="E61" s="42"/>
      <c r="F61" s="44"/>
      <c r="G61" s="44"/>
      <c r="H61" s="39">
        <f t="shared" si="24"/>
        <v>0</v>
      </c>
      <c r="I61" s="40">
        <f t="shared" ref="I61:X64" si="36">IF($G61="",0,IF(C61="werk",IF($G61&gt;$F61,IF(AND($F61&lt;J$9,$G61&gt;J$9),0.5,0),IF(OR($F61&lt;J$9,$G61&gt;J$9),0.5,0)),IF($G61&gt;$F61,IF(AND($F61&lt;J$9,$G61&gt;J$9),0.5,0),IF(OR($F61&lt;J$9,$G61&gt;=J$9),0.25,0))))</f>
        <v>0</v>
      </c>
      <c r="J61" s="40">
        <f t="shared" si="36"/>
        <v>0</v>
      </c>
      <c r="K61" s="40">
        <f t="shared" si="36"/>
        <v>0</v>
      </c>
      <c r="L61" s="40">
        <f t="shared" si="36"/>
        <v>0</v>
      </c>
      <c r="M61" s="40">
        <f t="shared" si="36"/>
        <v>0</v>
      </c>
      <c r="N61" s="40">
        <f t="shared" si="36"/>
        <v>0</v>
      </c>
      <c r="O61" s="40">
        <f t="shared" si="36"/>
        <v>0</v>
      </c>
      <c r="P61" s="40">
        <f t="shared" si="36"/>
        <v>0</v>
      </c>
      <c r="Q61" s="40">
        <f t="shared" si="36"/>
        <v>0</v>
      </c>
      <c r="R61" s="40">
        <f t="shared" si="36"/>
        <v>0</v>
      </c>
      <c r="S61" s="40">
        <f t="shared" si="36"/>
        <v>0</v>
      </c>
      <c r="T61" s="40">
        <f t="shared" si="36"/>
        <v>0</v>
      </c>
      <c r="U61" s="40">
        <f t="shared" si="36"/>
        <v>0</v>
      </c>
      <c r="V61" s="40">
        <f t="shared" si="36"/>
        <v>0</v>
      </c>
      <c r="W61" s="40">
        <f t="shared" si="36"/>
        <v>0</v>
      </c>
      <c r="X61" s="40">
        <f t="shared" si="36"/>
        <v>0</v>
      </c>
      <c r="Y61" s="40">
        <f t="shared" ref="Y61:AM64" si="37">IF($G61="",0,IF(S61="werk",IF($G61&gt;$F61,IF(AND($F61&lt;Z$9,$G61&gt;Z$9),0.5,0),IF(OR($F61&lt;Z$9,$G61&gt;Z$9),0.5,0)),IF($G61&gt;$F61,IF(AND($F61&lt;Z$9,$G61&gt;Z$9),0.5,0),IF(OR($F61&lt;Z$9,$G61&gt;=Z$9),0.25,0))))</f>
        <v>0</v>
      </c>
      <c r="Z61" s="40">
        <f t="shared" si="37"/>
        <v>0</v>
      </c>
      <c r="AA61" s="40">
        <f t="shared" si="37"/>
        <v>0</v>
      </c>
      <c r="AB61" s="40">
        <f t="shared" si="37"/>
        <v>0</v>
      </c>
      <c r="AC61" s="40">
        <f t="shared" si="37"/>
        <v>0</v>
      </c>
      <c r="AD61" s="40">
        <f t="shared" si="37"/>
        <v>0</v>
      </c>
      <c r="AE61" s="40">
        <f t="shared" si="37"/>
        <v>0</v>
      </c>
      <c r="AF61" s="40">
        <f t="shared" si="37"/>
        <v>0</v>
      </c>
      <c r="AG61" s="40">
        <f t="shared" si="37"/>
        <v>0</v>
      </c>
      <c r="AH61" s="40">
        <f t="shared" si="37"/>
        <v>0</v>
      </c>
      <c r="AI61" s="40">
        <f t="shared" si="37"/>
        <v>0</v>
      </c>
      <c r="AJ61" s="40">
        <f t="shared" si="37"/>
        <v>0</v>
      </c>
      <c r="AK61" s="40">
        <f t="shared" si="37"/>
        <v>0</v>
      </c>
      <c r="AL61" s="40">
        <f t="shared" si="37"/>
        <v>0</v>
      </c>
      <c r="AM61" s="40">
        <f t="shared" si="37"/>
        <v>0</v>
      </c>
      <c r="AN61" s="40">
        <f t="shared" si="35"/>
        <v>0</v>
      </c>
      <c r="AO61" s="40">
        <f t="shared" si="35"/>
        <v>0</v>
      </c>
      <c r="AP61" s="40">
        <f t="shared" si="35"/>
        <v>0</v>
      </c>
      <c r="AQ61" s="40">
        <f t="shared" si="35"/>
        <v>0</v>
      </c>
      <c r="AR61" s="40">
        <f t="shared" si="35"/>
        <v>0</v>
      </c>
      <c r="AS61" s="40">
        <f t="shared" si="35"/>
        <v>0</v>
      </c>
      <c r="AT61" s="40">
        <f t="shared" si="35"/>
        <v>0</v>
      </c>
      <c r="AU61" s="40">
        <f t="shared" si="35"/>
        <v>0</v>
      </c>
      <c r="AV61" s="40">
        <f t="shared" si="35"/>
        <v>0</v>
      </c>
      <c r="AW61" s="40">
        <f t="shared" si="35"/>
        <v>0</v>
      </c>
      <c r="AX61" s="40">
        <f t="shared" si="35"/>
        <v>0</v>
      </c>
      <c r="AY61" s="40">
        <f t="shared" si="35"/>
        <v>0</v>
      </c>
      <c r="AZ61" s="40">
        <f t="shared" si="35"/>
        <v>0</v>
      </c>
      <c r="BA61" s="40">
        <f t="shared" si="35"/>
        <v>0</v>
      </c>
      <c r="BB61" s="40">
        <f t="shared" si="35"/>
        <v>0</v>
      </c>
      <c r="BC61" s="40">
        <f t="shared" si="35"/>
        <v>0</v>
      </c>
      <c r="BD61" s="40">
        <f t="shared" ref="BC61:BD64" si="38">IF($G61="",0,IF(AX61="werk",IF($G61&gt;$F61,IF(AND($F61&lt;BE$9,$G61&gt;BE$9),0.5,0),IF(OR($F61&lt;BE$9,$G61&gt;BE$9),0.5,0)),IF($G61&gt;$F61,IF(AND($F61&lt;BE$9,$G61&gt;BE$9),0.5,0),IF(OR($F61&lt;BE$9,$G61&gt;=BE$9),0.25,0))))</f>
        <v>0</v>
      </c>
      <c r="BG61" s="41">
        <f t="shared" si="29"/>
        <v>0</v>
      </c>
      <c r="BH61" s="41">
        <f t="shared" si="25"/>
        <v>0</v>
      </c>
      <c r="BI61" s="41">
        <f t="shared" si="26"/>
        <v>0</v>
      </c>
      <c r="BJ61" s="41">
        <f t="shared" si="27"/>
        <v>0</v>
      </c>
      <c r="BK61" s="41">
        <f t="shared" si="28"/>
        <v>0</v>
      </c>
    </row>
    <row r="62" spans="1:63" x14ac:dyDescent="0.25">
      <c r="A62" s="42"/>
      <c r="B62" s="43"/>
      <c r="C62" s="43"/>
      <c r="D62" s="42"/>
      <c r="E62" s="42"/>
      <c r="F62" s="44"/>
      <c r="G62" s="44"/>
      <c r="H62" s="39">
        <f t="shared" si="24"/>
        <v>0</v>
      </c>
      <c r="I62" s="40">
        <f t="shared" si="36"/>
        <v>0</v>
      </c>
      <c r="J62" s="40">
        <f t="shared" si="36"/>
        <v>0</v>
      </c>
      <c r="K62" s="40">
        <f t="shared" si="36"/>
        <v>0</v>
      </c>
      <c r="L62" s="40">
        <f t="shared" si="36"/>
        <v>0</v>
      </c>
      <c r="M62" s="40">
        <f t="shared" si="36"/>
        <v>0</v>
      </c>
      <c r="N62" s="40">
        <f t="shared" si="36"/>
        <v>0</v>
      </c>
      <c r="O62" s="40">
        <f t="shared" si="36"/>
        <v>0</v>
      </c>
      <c r="P62" s="40">
        <f t="shared" si="36"/>
        <v>0</v>
      </c>
      <c r="Q62" s="40">
        <f t="shared" si="36"/>
        <v>0</v>
      </c>
      <c r="R62" s="40">
        <f t="shared" si="36"/>
        <v>0</v>
      </c>
      <c r="S62" s="40">
        <f t="shared" si="36"/>
        <v>0</v>
      </c>
      <c r="T62" s="40">
        <f t="shared" si="36"/>
        <v>0</v>
      </c>
      <c r="U62" s="40">
        <f t="shared" si="36"/>
        <v>0</v>
      </c>
      <c r="V62" s="40">
        <f t="shared" si="36"/>
        <v>0</v>
      </c>
      <c r="W62" s="40">
        <f t="shared" si="36"/>
        <v>0</v>
      </c>
      <c r="X62" s="40">
        <f t="shared" si="36"/>
        <v>0</v>
      </c>
      <c r="Y62" s="40">
        <f t="shared" si="37"/>
        <v>0</v>
      </c>
      <c r="Z62" s="40">
        <f t="shared" si="37"/>
        <v>0</v>
      </c>
      <c r="AA62" s="40">
        <f t="shared" si="37"/>
        <v>0</v>
      </c>
      <c r="AB62" s="40">
        <f t="shared" si="37"/>
        <v>0</v>
      </c>
      <c r="AC62" s="40">
        <f t="shared" si="37"/>
        <v>0</v>
      </c>
      <c r="AD62" s="40">
        <f t="shared" si="37"/>
        <v>0</v>
      </c>
      <c r="AE62" s="40">
        <f t="shared" si="37"/>
        <v>0</v>
      </c>
      <c r="AF62" s="40">
        <f t="shared" si="37"/>
        <v>0</v>
      </c>
      <c r="AG62" s="40">
        <f t="shared" si="37"/>
        <v>0</v>
      </c>
      <c r="AH62" s="40">
        <f t="shared" si="37"/>
        <v>0</v>
      </c>
      <c r="AI62" s="40">
        <f t="shared" si="37"/>
        <v>0</v>
      </c>
      <c r="AJ62" s="40">
        <f t="shared" si="37"/>
        <v>0</v>
      </c>
      <c r="AK62" s="40">
        <f t="shared" si="37"/>
        <v>0</v>
      </c>
      <c r="AL62" s="40">
        <f t="shared" si="37"/>
        <v>0</v>
      </c>
      <c r="AM62" s="40">
        <f t="shared" si="37"/>
        <v>0</v>
      </c>
      <c r="AN62" s="40">
        <f t="shared" si="35"/>
        <v>0</v>
      </c>
      <c r="AO62" s="40">
        <f t="shared" si="35"/>
        <v>0</v>
      </c>
      <c r="AP62" s="40">
        <f t="shared" si="35"/>
        <v>0</v>
      </c>
      <c r="AQ62" s="40">
        <f t="shared" si="35"/>
        <v>0</v>
      </c>
      <c r="AR62" s="40">
        <f t="shared" si="35"/>
        <v>0</v>
      </c>
      <c r="AS62" s="40">
        <f t="shared" si="35"/>
        <v>0</v>
      </c>
      <c r="AT62" s="40">
        <f t="shared" si="35"/>
        <v>0</v>
      </c>
      <c r="AU62" s="40">
        <f t="shared" si="35"/>
        <v>0</v>
      </c>
      <c r="AV62" s="40">
        <f t="shared" si="35"/>
        <v>0</v>
      </c>
      <c r="AW62" s="40">
        <f t="shared" si="35"/>
        <v>0</v>
      </c>
      <c r="AX62" s="40">
        <f t="shared" si="35"/>
        <v>0</v>
      </c>
      <c r="AY62" s="40">
        <f t="shared" si="35"/>
        <v>0</v>
      </c>
      <c r="AZ62" s="40">
        <f t="shared" si="35"/>
        <v>0</v>
      </c>
      <c r="BA62" s="40">
        <f t="shared" si="35"/>
        <v>0</v>
      </c>
      <c r="BB62" s="40">
        <f t="shared" si="35"/>
        <v>0</v>
      </c>
      <c r="BC62" s="40">
        <f t="shared" si="38"/>
        <v>0</v>
      </c>
      <c r="BD62" s="40">
        <f t="shared" si="38"/>
        <v>0</v>
      </c>
      <c r="BG62" s="41">
        <f t="shared" si="29"/>
        <v>0</v>
      </c>
      <c r="BH62" s="41">
        <f t="shared" si="25"/>
        <v>0</v>
      </c>
      <c r="BI62" s="41">
        <f t="shared" si="26"/>
        <v>0</v>
      </c>
      <c r="BJ62" s="41">
        <f t="shared" si="27"/>
        <v>0</v>
      </c>
      <c r="BK62" s="41">
        <f t="shared" si="28"/>
        <v>0</v>
      </c>
    </row>
    <row r="63" spans="1:63" x14ac:dyDescent="0.25">
      <c r="A63" s="42"/>
      <c r="B63" s="43"/>
      <c r="C63" s="43"/>
      <c r="D63" s="42"/>
      <c r="E63" s="42"/>
      <c r="F63" s="44"/>
      <c r="G63" s="44"/>
      <c r="H63" s="39">
        <f t="shared" si="24"/>
        <v>0</v>
      </c>
      <c r="I63" s="40">
        <f t="shared" si="36"/>
        <v>0</v>
      </c>
      <c r="J63" s="40">
        <f t="shared" si="36"/>
        <v>0</v>
      </c>
      <c r="K63" s="40">
        <f t="shared" si="36"/>
        <v>0</v>
      </c>
      <c r="L63" s="40">
        <f t="shared" si="36"/>
        <v>0</v>
      </c>
      <c r="M63" s="40">
        <f t="shared" si="36"/>
        <v>0</v>
      </c>
      <c r="N63" s="40">
        <f t="shared" si="36"/>
        <v>0</v>
      </c>
      <c r="O63" s="40">
        <f t="shared" si="36"/>
        <v>0</v>
      </c>
      <c r="P63" s="40">
        <f t="shared" si="36"/>
        <v>0</v>
      </c>
      <c r="Q63" s="40">
        <f t="shared" si="36"/>
        <v>0</v>
      </c>
      <c r="R63" s="40">
        <f t="shared" si="36"/>
        <v>0</v>
      </c>
      <c r="S63" s="40">
        <f t="shared" si="36"/>
        <v>0</v>
      </c>
      <c r="T63" s="40">
        <f t="shared" si="36"/>
        <v>0</v>
      </c>
      <c r="U63" s="40">
        <f t="shared" si="36"/>
        <v>0</v>
      </c>
      <c r="V63" s="40">
        <f t="shared" si="36"/>
        <v>0</v>
      </c>
      <c r="W63" s="40">
        <f t="shared" si="36"/>
        <v>0</v>
      </c>
      <c r="X63" s="40">
        <f t="shared" si="36"/>
        <v>0</v>
      </c>
      <c r="Y63" s="40">
        <f t="shared" si="37"/>
        <v>0</v>
      </c>
      <c r="Z63" s="40">
        <f t="shared" si="37"/>
        <v>0</v>
      </c>
      <c r="AA63" s="40">
        <f t="shared" si="37"/>
        <v>0</v>
      </c>
      <c r="AB63" s="40">
        <f t="shared" si="37"/>
        <v>0</v>
      </c>
      <c r="AC63" s="40">
        <f t="shared" si="37"/>
        <v>0</v>
      </c>
      <c r="AD63" s="40">
        <f t="shared" si="37"/>
        <v>0</v>
      </c>
      <c r="AE63" s="40">
        <f t="shared" si="37"/>
        <v>0</v>
      </c>
      <c r="AF63" s="40">
        <f t="shared" si="37"/>
        <v>0</v>
      </c>
      <c r="AG63" s="40">
        <f t="shared" si="37"/>
        <v>0</v>
      </c>
      <c r="AH63" s="40">
        <f t="shared" si="37"/>
        <v>0</v>
      </c>
      <c r="AI63" s="40">
        <f t="shared" si="37"/>
        <v>0</v>
      </c>
      <c r="AJ63" s="40">
        <f t="shared" si="37"/>
        <v>0</v>
      </c>
      <c r="AK63" s="40">
        <f t="shared" si="37"/>
        <v>0</v>
      </c>
      <c r="AL63" s="40">
        <f t="shared" si="37"/>
        <v>0</v>
      </c>
      <c r="AM63" s="40">
        <f t="shared" si="37"/>
        <v>0</v>
      </c>
      <c r="AN63" s="40">
        <f t="shared" si="35"/>
        <v>0</v>
      </c>
      <c r="AO63" s="40">
        <f t="shared" si="35"/>
        <v>0</v>
      </c>
      <c r="AP63" s="40">
        <f t="shared" si="35"/>
        <v>0</v>
      </c>
      <c r="AQ63" s="40">
        <f t="shared" si="35"/>
        <v>0</v>
      </c>
      <c r="AR63" s="40">
        <f t="shared" si="35"/>
        <v>0</v>
      </c>
      <c r="AS63" s="40">
        <f t="shared" si="35"/>
        <v>0</v>
      </c>
      <c r="AT63" s="40">
        <f t="shared" si="35"/>
        <v>0</v>
      </c>
      <c r="AU63" s="40">
        <f t="shared" si="35"/>
        <v>0</v>
      </c>
      <c r="AV63" s="40">
        <f t="shared" si="35"/>
        <v>0</v>
      </c>
      <c r="AW63" s="40">
        <f t="shared" si="35"/>
        <v>0</v>
      </c>
      <c r="AX63" s="40">
        <f t="shared" si="35"/>
        <v>0</v>
      </c>
      <c r="AY63" s="40">
        <f t="shared" si="35"/>
        <v>0</v>
      </c>
      <c r="AZ63" s="40">
        <f t="shared" si="35"/>
        <v>0</v>
      </c>
      <c r="BA63" s="40">
        <f t="shared" si="35"/>
        <v>0</v>
      </c>
      <c r="BB63" s="40">
        <f t="shared" si="35"/>
        <v>0</v>
      </c>
      <c r="BC63" s="40">
        <f t="shared" si="38"/>
        <v>0</v>
      </c>
      <c r="BD63" s="40">
        <f t="shared" si="38"/>
        <v>0</v>
      </c>
      <c r="BG63" s="41">
        <f t="shared" si="29"/>
        <v>0</v>
      </c>
      <c r="BH63" s="41">
        <f t="shared" si="25"/>
        <v>0</v>
      </c>
      <c r="BI63" s="41">
        <f t="shared" si="26"/>
        <v>0</v>
      </c>
      <c r="BJ63" s="41">
        <f t="shared" si="27"/>
        <v>0</v>
      </c>
      <c r="BK63" s="41">
        <f t="shared" si="28"/>
        <v>0</v>
      </c>
    </row>
    <row r="64" spans="1:63" x14ac:dyDescent="0.25">
      <c r="A64" s="42"/>
      <c r="B64" s="43"/>
      <c r="C64" s="43"/>
      <c r="D64" s="42"/>
      <c r="E64" s="42"/>
      <c r="F64" s="44"/>
      <c r="G64" s="44"/>
      <c r="H64" s="39">
        <f t="shared" si="24"/>
        <v>0</v>
      </c>
      <c r="I64" s="40">
        <f t="shared" si="36"/>
        <v>0</v>
      </c>
      <c r="J64" s="40">
        <f t="shared" si="36"/>
        <v>0</v>
      </c>
      <c r="K64" s="40">
        <f t="shared" si="36"/>
        <v>0</v>
      </c>
      <c r="L64" s="40">
        <f t="shared" si="36"/>
        <v>0</v>
      </c>
      <c r="M64" s="40">
        <f t="shared" si="36"/>
        <v>0</v>
      </c>
      <c r="N64" s="40">
        <f t="shared" si="36"/>
        <v>0</v>
      </c>
      <c r="O64" s="40">
        <f t="shared" si="36"/>
        <v>0</v>
      </c>
      <c r="P64" s="40">
        <f t="shared" si="36"/>
        <v>0</v>
      </c>
      <c r="Q64" s="40">
        <f t="shared" si="36"/>
        <v>0</v>
      </c>
      <c r="R64" s="40">
        <f t="shared" si="36"/>
        <v>0</v>
      </c>
      <c r="S64" s="40">
        <f t="shared" si="36"/>
        <v>0</v>
      </c>
      <c r="T64" s="40">
        <f t="shared" si="36"/>
        <v>0</v>
      </c>
      <c r="U64" s="40">
        <f t="shared" si="36"/>
        <v>0</v>
      </c>
      <c r="V64" s="40">
        <f t="shared" si="36"/>
        <v>0</v>
      </c>
      <c r="W64" s="40">
        <f t="shared" si="36"/>
        <v>0</v>
      </c>
      <c r="X64" s="40">
        <f t="shared" si="36"/>
        <v>0</v>
      </c>
      <c r="Y64" s="40">
        <f t="shared" si="37"/>
        <v>0</v>
      </c>
      <c r="Z64" s="40">
        <f t="shared" si="37"/>
        <v>0</v>
      </c>
      <c r="AA64" s="40">
        <f t="shared" si="37"/>
        <v>0</v>
      </c>
      <c r="AB64" s="40">
        <f t="shared" si="37"/>
        <v>0</v>
      </c>
      <c r="AC64" s="40">
        <f t="shared" si="37"/>
        <v>0</v>
      </c>
      <c r="AD64" s="40">
        <f t="shared" si="37"/>
        <v>0</v>
      </c>
      <c r="AE64" s="40">
        <f t="shared" si="37"/>
        <v>0</v>
      </c>
      <c r="AF64" s="40">
        <f t="shared" si="37"/>
        <v>0</v>
      </c>
      <c r="AG64" s="40">
        <f t="shared" si="37"/>
        <v>0</v>
      </c>
      <c r="AH64" s="40">
        <f t="shared" si="37"/>
        <v>0</v>
      </c>
      <c r="AI64" s="40">
        <f t="shared" si="37"/>
        <v>0</v>
      </c>
      <c r="AJ64" s="40">
        <f t="shared" si="37"/>
        <v>0</v>
      </c>
      <c r="AK64" s="40">
        <f t="shared" si="37"/>
        <v>0</v>
      </c>
      <c r="AL64" s="40">
        <f t="shared" si="37"/>
        <v>0</v>
      </c>
      <c r="AM64" s="40">
        <f t="shared" si="37"/>
        <v>0</v>
      </c>
      <c r="AN64" s="40">
        <f t="shared" si="35"/>
        <v>0</v>
      </c>
      <c r="AO64" s="40">
        <f t="shared" si="35"/>
        <v>0</v>
      </c>
      <c r="AP64" s="40">
        <f t="shared" si="35"/>
        <v>0</v>
      </c>
      <c r="AQ64" s="40">
        <f t="shared" si="35"/>
        <v>0</v>
      </c>
      <c r="AR64" s="40">
        <f t="shared" si="35"/>
        <v>0</v>
      </c>
      <c r="AS64" s="40">
        <f t="shared" si="35"/>
        <v>0</v>
      </c>
      <c r="AT64" s="40">
        <f t="shared" si="35"/>
        <v>0</v>
      </c>
      <c r="AU64" s="40">
        <f t="shared" si="35"/>
        <v>0</v>
      </c>
      <c r="AV64" s="40">
        <f t="shared" si="35"/>
        <v>0</v>
      </c>
      <c r="AW64" s="40">
        <f t="shared" si="35"/>
        <v>0</v>
      </c>
      <c r="AX64" s="40">
        <f t="shared" si="35"/>
        <v>0</v>
      </c>
      <c r="AY64" s="40">
        <f t="shared" si="35"/>
        <v>0</v>
      </c>
      <c r="AZ64" s="40">
        <f t="shared" si="35"/>
        <v>0</v>
      </c>
      <c r="BA64" s="40">
        <f t="shared" si="35"/>
        <v>0</v>
      </c>
      <c r="BB64" s="40">
        <f t="shared" si="35"/>
        <v>0</v>
      </c>
      <c r="BC64" s="40">
        <f t="shared" si="38"/>
        <v>0</v>
      </c>
      <c r="BD64" s="40">
        <f t="shared" si="38"/>
        <v>0</v>
      </c>
      <c r="BG64" s="41">
        <f t="shared" si="29"/>
        <v>0</v>
      </c>
      <c r="BH64" s="41">
        <f t="shared" si="25"/>
        <v>0</v>
      </c>
      <c r="BI64" s="41">
        <f t="shared" si="26"/>
        <v>0</v>
      </c>
      <c r="BJ64" s="41">
        <f t="shared" si="27"/>
        <v>0</v>
      </c>
      <c r="BK64" s="41">
        <f t="shared" si="28"/>
        <v>0</v>
      </c>
    </row>
    <row r="65" spans="1:63" x14ac:dyDescent="0.25">
      <c r="A65" s="45"/>
      <c r="B65" s="46"/>
      <c r="C65" s="46"/>
      <c r="D65" s="46"/>
      <c r="E65" s="46"/>
      <c r="F65" s="46"/>
      <c r="G65" s="46"/>
      <c r="H65" s="4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G65" s="48">
        <f t="shared" si="29"/>
        <v>0</v>
      </c>
      <c r="BH65" s="48">
        <f t="shared" si="25"/>
        <v>0</v>
      </c>
      <c r="BI65" s="48">
        <f t="shared" si="26"/>
        <v>0</v>
      </c>
      <c r="BJ65" s="48">
        <f t="shared" si="27"/>
        <v>0</v>
      </c>
      <c r="BK65" s="48">
        <f t="shared" si="28"/>
        <v>0</v>
      </c>
    </row>
    <row r="69" spans="1:63" x14ac:dyDescent="0.25">
      <c r="B69" s="1"/>
      <c r="C69" s="1"/>
      <c r="D69" s="49"/>
    </row>
    <row r="70" spans="1:63" x14ac:dyDescent="0.25">
      <c r="D70" s="50"/>
      <c r="E70" s="51"/>
    </row>
    <row r="71" spans="1:63" x14ac:dyDescent="0.25">
      <c r="D71" s="50"/>
      <c r="E71" s="51"/>
    </row>
    <row r="72" spans="1:63" x14ac:dyDescent="0.25">
      <c r="D72" s="50"/>
      <c r="E72" s="51"/>
    </row>
    <row r="73" spans="1:63" x14ac:dyDescent="0.25">
      <c r="D73" s="50"/>
      <c r="E73" s="51"/>
    </row>
    <row r="74" spans="1:63" x14ac:dyDescent="0.25">
      <c r="D74" s="50"/>
      <c r="E74" s="51"/>
    </row>
    <row r="75" spans="1:63" x14ac:dyDescent="0.25">
      <c r="D75" s="50"/>
      <c r="E75" s="51"/>
      <c r="F75" s="52"/>
    </row>
    <row r="76" spans="1:63" x14ac:dyDescent="0.25">
      <c r="B76" s="1"/>
      <c r="C76" s="1"/>
      <c r="D76" s="49"/>
    </row>
    <row r="77" spans="1:63" x14ac:dyDescent="0.25">
      <c r="B77" s="53"/>
      <c r="C77" s="53"/>
      <c r="D77" s="54"/>
    </row>
    <row r="78" spans="1:63" x14ac:dyDescent="0.25">
      <c r="D78" s="50"/>
    </row>
    <row r="79" spans="1:63" x14ac:dyDescent="0.25">
      <c r="B79" s="53"/>
      <c r="C79" s="53"/>
      <c r="D79" s="54"/>
    </row>
    <row r="86" spans="1:1" hidden="1" outlineLevel="1" x14ac:dyDescent="0.25">
      <c r="A86" s="34" t="s">
        <v>181</v>
      </c>
    </row>
    <row r="87" spans="1:1" hidden="1" outlineLevel="1" x14ac:dyDescent="0.25">
      <c r="A87" s="38">
        <v>0</v>
      </c>
    </row>
    <row r="88" spans="1:1" hidden="1" outlineLevel="1" x14ac:dyDescent="0.25">
      <c r="A88" s="38">
        <v>2.0833333333333332E-2</v>
      </c>
    </row>
    <row r="89" spans="1:1" hidden="1" outlineLevel="1" x14ac:dyDescent="0.25">
      <c r="A89" s="38">
        <v>4.1666666666666699E-2</v>
      </c>
    </row>
    <row r="90" spans="1:1" hidden="1" outlineLevel="1" x14ac:dyDescent="0.25">
      <c r="A90" s="38">
        <v>6.25E-2</v>
      </c>
    </row>
    <row r="91" spans="1:1" hidden="1" outlineLevel="1" x14ac:dyDescent="0.25">
      <c r="A91" s="38">
        <v>8.3333333333333301E-2</v>
      </c>
    </row>
    <row r="92" spans="1:1" hidden="1" outlineLevel="1" x14ac:dyDescent="0.25">
      <c r="A92" s="38">
        <v>0.104166666666667</v>
      </c>
    </row>
    <row r="93" spans="1:1" hidden="1" outlineLevel="1" x14ac:dyDescent="0.25">
      <c r="A93" s="38">
        <v>0.125</v>
      </c>
    </row>
    <row r="94" spans="1:1" hidden="1" outlineLevel="1" x14ac:dyDescent="0.25">
      <c r="A94" s="38">
        <v>0.14583333333333301</v>
      </c>
    </row>
    <row r="95" spans="1:1" hidden="1" outlineLevel="1" x14ac:dyDescent="0.25">
      <c r="A95" s="38">
        <v>0.16666666666666699</v>
      </c>
    </row>
    <row r="96" spans="1:1" hidden="1" outlineLevel="1" x14ac:dyDescent="0.25">
      <c r="A96" s="38">
        <v>0.1875</v>
      </c>
    </row>
    <row r="97" spans="1:1" hidden="1" outlineLevel="1" x14ac:dyDescent="0.25">
      <c r="A97" s="38">
        <v>0.20833333333333301</v>
      </c>
    </row>
    <row r="98" spans="1:1" hidden="1" outlineLevel="1" x14ac:dyDescent="0.25">
      <c r="A98" s="38">
        <v>0.22916666666666699</v>
      </c>
    </row>
    <row r="99" spans="1:1" hidden="1" outlineLevel="1" x14ac:dyDescent="0.25">
      <c r="A99" s="38">
        <v>0.25</v>
      </c>
    </row>
    <row r="100" spans="1:1" hidden="1" outlineLevel="1" x14ac:dyDescent="0.25">
      <c r="A100" s="38">
        <v>0.27083333333333298</v>
      </c>
    </row>
    <row r="101" spans="1:1" hidden="1" outlineLevel="1" x14ac:dyDescent="0.25">
      <c r="A101" s="38">
        <v>0.29166666666666702</v>
      </c>
    </row>
    <row r="102" spans="1:1" hidden="1" outlineLevel="1" x14ac:dyDescent="0.25">
      <c r="A102" s="38">
        <v>0.312500000000001</v>
      </c>
    </row>
    <row r="103" spans="1:1" hidden="1" outlineLevel="1" x14ac:dyDescent="0.25">
      <c r="A103" s="38">
        <v>0.33333333333333498</v>
      </c>
    </row>
    <row r="104" spans="1:1" hidden="1" outlineLevel="1" x14ac:dyDescent="0.25">
      <c r="A104" s="38">
        <v>0.35416666666666902</v>
      </c>
    </row>
    <row r="105" spans="1:1" hidden="1" outlineLevel="1" x14ac:dyDescent="0.25">
      <c r="A105" s="38">
        <v>0.375000000000003</v>
      </c>
    </row>
    <row r="106" spans="1:1" hidden="1" outlineLevel="1" x14ac:dyDescent="0.25">
      <c r="A106" s="38">
        <v>0.39583333333333698</v>
      </c>
    </row>
    <row r="107" spans="1:1" hidden="1" outlineLevel="1" x14ac:dyDescent="0.25">
      <c r="A107" s="38">
        <v>0.41666666666667102</v>
      </c>
    </row>
    <row r="108" spans="1:1" hidden="1" outlineLevel="1" x14ac:dyDescent="0.25">
      <c r="A108" s="38">
        <v>0.437500000000005</v>
      </c>
    </row>
    <row r="109" spans="1:1" hidden="1" outlineLevel="1" x14ac:dyDescent="0.25">
      <c r="A109" s="38">
        <v>0.45833333333333898</v>
      </c>
    </row>
    <row r="110" spans="1:1" hidden="1" outlineLevel="1" x14ac:dyDescent="0.25">
      <c r="A110" s="38">
        <v>0.47916666666667301</v>
      </c>
    </row>
    <row r="111" spans="1:1" hidden="1" outlineLevel="1" x14ac:dyDescent="0.25">
      <c r="A111" s="38">
        <v>0.50000000000000699</v>
      </c>
    </row>
    <row r="112" spans="1:1" hidden="1" outlineLevel="1" x14ac:dyDescent="0.25">
      <c r="A112" s="38">
        <v>0.52083333333334103</v>
      </c>
    </row>
    <row r="113" spans="1:1" hidden="1" outlineLevel="1" x14ac:dyDescent="0.25">
      <c r="A113" s="38">
        <v>0.54166666666667496</v>
      </c>
    </row>
    <row r="114" spans="1:1" hidden="1" outlineLevel="1" x14ac:dyDescent="0.25">
      <c r="A114" s="38">
        <v>0.56250000000000999</v>
      </c>
    </row>
    <row r="115" spans="1:1" hidden="1" outlineLevel="1" x14ac:dyDescent="0.25">
      <c r="A115" s="38">
        <v>0.58333333333334403</v>
      </c>
    </row>
    <row r="116" spans="1:1" hidden="1" outlineLevel="1" x14ac:dyDescent="0.25">
      <c r="A116" s="38">
        <v>0.60416666666667795</v>
      </c>
    </row>
    <row r="117" spans="1:1" hidden="1" outlineLevel="1" x14ac:dyDescent="0.25">
      <c r="A117" s="38">
        <v>0.62500000000001199</v>
      </c>
    </row>
    <row r="118" spans="1:1" hidden="1" outlineLevel="1" x14ac:dyDescent="0.25">
      <c r="A118" s="38">
        <v>0.64583333333334603</v>
      </c>
    </row>
    <row r="119" spans="1:1" hidden="1" outlineLevel="1" x14ac:dyDescent="0.25">
      <c r="A119" s="38">
        <v>0.66666666666667995</v>
      </c>
    </row>
    <row r="120" spans="1:1" hidden="1" outlineLevel="1" x14ac:dyDescent="0.25">
      <c r="A120" s="38">
        <v>0.68750000000001399</v>
      </c>
    </row>
    <row r="121" spans="1:1" hidden="1" outlineLevel="1" x14ac:dyDescent="0.25">
      <c r="A121" s="38">
        <v>0.70833333333334803</v>
      </c>
    </row>
    <row r="122" spans="1:1" hidden="1" outlineLevel="1" x14ac:dyDescent="0.25">
      <c r="A122" s="38">
        <v>0.72916666666668195</v>
      </c>
    </row>
    <row r="123" spans="1:1" hidden="1" outlineLevel="1" x14ac:dyDescent="0.25">
      <c r="A123" s="38">
        <v>0.75000000000001599</v>
      </c>
    </row>
    <row r="124" spans="1:1" hidden="1" outlineLevel="1" x14ac:dyDescent="0.25">
      <c r="A124" s="38">
        <v>0.77083333333335002</v>
      </c>
    </row>
    <row r="125" spans="1:1" hidden="1" outlineLevel="1" x14ac:dyDescent="0.25">
      <c r="A125" s="38">
        <v>0.79166666666668395</v>
      </c>
    </row>
    <row r="126" spans="1:1" hidden="1" outlineLevel="1" x14ac:dyDescent="0.25">
      <c r="A126" s="38">
        <v>0.81250000000001799</v>
      </c>
    </row>
    <row r="127" spans="1:1" hidden="1" outlineLevel="1" x14ac:dyDescent="0.25">
      <c r="A127" s="38">
        <v>0.83333333333335202</v>
      </c>
    </row>
    <row r="128" spans="1:1" hidden="1" outlineLevel="1" x14ac:dyDescent="0.25">
      <c r="A128" s="38">
        <v>0.85416666666668595</v>
      </c>
    </row>
    <row r="129" spans="1:1" hidden="1" outlineLevel="1" x14ac:dyDescent="0.25">
      <c r="A129" s="38">
        <v>0.87500000000001998</v>
      </c>
    </row>
    <row r="130" spans="1:1" hidden="1" outlineLevel="1" x14ac:dyDescent="0.25">
      <c r="A130" s="38">
        <v>0.89583333333335402</v>
      </c>
    </row>
    <row r="131" spans="1:1" hidden="1" outlineLevel="1" x14ac:dyDescent="0.25">
      <c r="A131" s="38">
        <v>0.91666666666668795</v>
      </c>
    </row>
    <row r="132" spans="1:1" hidden="1" outlineLevel="1" x14ac:dyDescent="0.25">
      <c r="A132" s="38">
        <v>0.93750000000002198</v>
      </c>
    </row>
    <row r="133" spans="1:1" hidden="1" outlineLevel="1" x14ac:dyDescent="0.25">
      <c r="A133" s="38">
        <v>0.95833333333335602</v>
      </c>
    </row>
    <row r="134" spans="1:1" hidden="1" outlineLevel="1" x14ac:dyDescent="0.25">
      <c r="A134" s="38">
        <v>0.97916666666669006</v>
      </c>
    </row>
    <row r="135" spans="1:1" hidden="1" outlineLevel="1" x14ac:dyDescent="0.25">
      <c r="A135" s="38">
        <v>1.00000000000002</v>
      </c>
    </row>
    <row r="136" spans="1:1" collapsed="1" x14ac:dyDescent="0.25"/>
  </sheetData>
  <sheetProtection insertRows="0" deleteRows="0"/>
  <conditionalFormatting sqref="I38:BE38">
    <cfRule type="dataBar" priority="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{B5E5BD28-5B21-405A-86B5-DC56BAF860AF}</x14:id>
        </ext>
      </extLst>
    </cfRule>
  </conditionalFormatting>
  <conditionalFormatting sqref="I38:BD38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{754059D9-47E6-484B-A556-0F3D0A0862DD}</x14:id>
        </ext>
      </extLst>
    </cfRule>
  </conditionalFormatting>
  <conditionalFormatting sqref="I16:BD30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{F74786A1-C7F5-44EF-9DAB-AD44A1EB06AB}</x14:id>
        </ext>
      </extLst>
    </cfRule>
  </conditionalFormatting>
  <conditionalFormatting sqref="I39:BD39">
    <cfRule type="dataBar" priority="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{AD76C3EE-C504-475A-B14A-D624820660E7}</x14:id>
        </ext>
      </extLst>
    </cfRule>
  </conditionalFormatting>
  <conditionalFormatting sqref="I39:BD39"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{FDD3D19E-E97D-46F0-801A-2544CD8EF631}</x14:id>
        </ext>
      </extLst>
    </cfRule>
  </conditionalFormatting>
  <conditionalFormatting sqref="I39:BD39">
    <cfRule type="dataBar" priority="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{AFCC8294-B264-4E46-9798-FB0178A843D5}</x14:id>
        </ext>
      </extLst>
    </cfRule>
  </conditionalFormatting>
  <conditionalFormatting sqref="I39:BD44 I50:BD64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{38B52916-9AA0-48B2-8C40-3AF1D814D12C}</x14:id>
        </ext>
      </extLst>
    </cfRule>
  </conditionalFormatting>
  <conditionalFormatting sqref="I39:BD44">
    <cfRule type="dataBar" priority="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{CA83558C-5CE3-462F-B2D5-5354BDD6FCA0}</x14:id>
        </ext>
      </extLst>
    </cfRule>
  </conditionalFormatting>
  <conditionalFormatting sqref="I39:BD44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{237A443D-D065-4455-81B7-A613703BFEEC}</x14:id>
        </ext>
      </extLst>
    </cfRule>
  </conditionalFormatting>
  <conditionalFormatting sqref="H6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{98633F3A-1C20-434E-90D2-B0D5CDF6C5A0}</x14:id>
        </ext>
      </extLst>
    </cfRule>
  </conditionalFormatting>
  <conditionalFormatting sqref="H7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{68081394-2DE4-4D91-BE6D-FDEF6C5E3EDD}</x14:id>
        </ext>
      </extLst>
    </cfRule>
  </conditionalFormatting>
  <conditionalFormatting sqref="H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{5FFFC4E3-1365-4674-8894-74918279F110}</x14:id>
        </ext>
      </extLst>
    </cfRule>
  </conditionalFormatting>
  <conditionalFormatting sqref="H34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{39B3AE74-7154-41AE-BE84-29D729BF8CF2}</x14:id>
        </ext>
      </extLst>
    </cfRule>
  </conditionalFormatting>
  <conditionalFormatting sqref="H3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{F1FEA638-F1D2-488D-A8CF-49AE9D960937}</x14:id>
        </ext>
      </extLst>
    </cfRule>
  </conditionalFormatting>
  <conditionalFormatting sqref="H3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{A3076797-C2FE-40DB-A998-4329AFFA8C8E}</x14:id>
        </ext>
      </extLst>
    </cfRule>
  </conditionalFormatting>
  <conditionalFormatting sqref="I11:BD11">
    <cfRule type="dataBar" priority="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{E9DC7888-E95D-4B41-B62A-3B91FA6F6ABC}</x14:id>
        </ext>
      </extLst>
    </cfRule>
  </conditionalFormatting>
  <conditionalFormatting sqref="I11:BD11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{F83E0AA6-42EE-4B11-9A53-EB8F094D9E52}</x14:id>
        </ext>
      </extLst>
    </cfRule>
  </conditionalFormatting>
  <conditionalFormatting sqref="I11:BD11">
    <cfRule type="dataBar" priority="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{DAA61E49-76EE-4C2F-B5C2-1F7AEA29F442}</x14:id>
        </ext>
      </extLst>
    </cfRule>
  </conditionalFormatting>
  <conditionalFormatting sqref="I11:BD15">
    <cfRule type="dataBar" priority="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{6B2EE3F6-FD5A-4E21-B1A4-CD15B3DF48AC}</x14:id>
        </ext>
      </extLst>
    </cfRule>
  </conditionalFormatting>
  <conditionalFormatting sqref="I11:BD15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{54275519-F7EC-41FA-B5FA-8BCC51F4D2C1}</x14:id>
        </ext>
      </extLst>
    </cfRule>
  </conditionalFormatting>
  <conditionalFormatting sqref="I11:BD15">
    <cfRule type="dataBar" priority="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{369FCFFE-6ACE-43F6-9A0D-0FBAD501081B}</x14:id>
        </ext>
      </extLst>
    </cfRule>
  </conditionalFormatting>
  <conditionalFormatting sqref="I45:BD45">
    <cfRule type="dataBar" priority="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{A6E778B6-DF40-4268-A6E2-58BC19C2A7E0}</x14:id>
        </ext>
      </extLst>
    </cfRule>
  </conditionalFormatting>
  <conditionalFormatting sqref="I45:BD45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{D9158581-1109-4DD5-9867-D3CFD74C4930}</x14:id>
        </ext>
      </extLst>
    </cfRule>
  </conditionalFormatting>
  <conditionalFormatting sqref="I45:BD45">
    <cfRule type="dataBar" priority="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{1BE8054E-291F-4C7F-9F89-41EA8DEB1A85}</x14:id>
        </ext>
      </extLst>
    </cfRule>
  </conditionalFormatting>
  <conditionalFormatting sqref="I45:BD4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{78DA6DF0-1C89-4582-A48A-ABDBDA6A1723}</x14:id>
        </ext>
      </extLst>
    </cfRule>
  </conditionalFormatting>
  <conditionalFormatting sqref="I45:BD49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{F5C4DF6E-D041-4E35-B399-BB9137F64F30}</x14:id>
        </ext>
      </extLst>
    </cfRule>
  </conditionalFormatting>
  <conditionalFormatting sqref="I45:BD4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{F05A1E81-3F27-4580-9EA9-C2CC88F7A835}</x14:id>
        </ext>
      </extLst>
    </cfRule>
  </conditionalFormatting>
  <conditionalFormatting sqref="I10:BE10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{8F69C398-6DD5-4FEA-9C8A-4B0975648A34}</x14:id>
        </ext>
      </extLst>
    </cfRule>
  </conditionalFormatting>
  <conditionalFormatting sqref="I10:BD10">
    <cfRule type="dataBar" priority="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{CBB2EC4D-63BC-44A4-8E31-B1F1DA55F49E}</x14:id>
        </ext>
      </extLst>
    </cfRule>
  </conditionalFormatting>
  <dataValidations count="7">
    <dataValidation type="list" allowBlank="1" showInputMessage="1" showErrorMessage="1" sqref="B7 B35" xr:uid="{E7BC4615-CC37-4650-A7F3-44C05EDD4439}">
      <formula1>Lijst_Functie</formula1>
    </dataValidation>
    <dataValidation type="list" allowBlank="1" showInputMessage="1" showErrorMessage="1" sqref="C39:C64 C10:C31" xr:uid="{3578A1FD-575B-447E-93B4-464C8A43B3C6}">
      <formula1>"werk,slaap"</formula1>
    </dataValidation>
    <dataValidation type="list" allowBlank="1" showInputMessage="1" showErrorMessage="1" sqref="D38:E64 E10 D10:D30" xr:uid="{348972BC-6702-4DE9-AA44-61D07CD139F3}">
      <formula1>"weekdag,zaterdag,zondag"</formula1>
    </dataValidation>
    <dataValidation type="list" allowBlank="1" showInputMessage="1" showErrorMessage="1" sqref="I9:BE9 F38:G64 I37:BE37 F10:G30" xr:uid="{281A5568-9249-4D9D-8632-389AB2250BE5}">
      <formula1>Lijst_Tijdstip</formula1>
    </dataValidation>
    <dataValidation type="whole" allowBlank="1" showInputMessage="1" showErrorMessage="1" sqref="E38:E64 E10:E30" xr:uid="{2325FAA1-B7A7-4347-A741-E49351FE3FF9}">
      <formula1>0</formula1>
      <formula2>7</formula2>
    </dataValidation>
    <dataValidation type="whole" allowBlank="1" showInputMessage="1" showErrorMessage="1" sqref="A38:A65 A10:A33" xr:uid="{0B0A15DA-1A86-4387-B9A6-87F974933990}">
      <formula1>1</formula1>
      <formula2>52</formula2>
    </dataValidation>
    <dataValidation type="time" allowBlank="1" showInputMessage="1" showErrorMessage="1" sqref="A87:A135" xr:uid="{CF646D42-4869-4A2B-BDCC-BD46F831304A}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E5BD28-5B21-405A-86B5-DC56BAF860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I38:BE38</xm:sqref>
        </x14:conditionalFormatting>
        <x14:conditionalFormatting xmlns:xm="http://schemas.microsoft.com/office/excel/2006/main">
          <x14:cfRule type="dataBar" id="{754059D9-47E6-484B-A556-0F3D0A0862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I38:BD38</xm:sqref>
        </x14:conditionalFormatting>
        <x14:conditionalFormatting xmlns:xm="http://schemas.microsoft.com/office/excel/2006/main">
          <x14:cfRule type="dataBar" id="{F74786A1-C7F5-44EF-9DAB-AD44A1EB06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I16:BD30</xm:sqref>
        </x14:conditionalFormatting>
        <x14:conditionalFormatting xmlns:xm="http://schemas.microsoft.com/office/excel/2006/main">
          <x14:cfRule type="dataBar" id="{AD76C3EE-C504-475A-B14A-D624820660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I39:BD39</xm:sqref>
        </x14:conditionalFormatting>
        <x14:conditionalFormatting xmlns:xm="http://schemas.microsoft.com/office/excel/2006/main">
          <x14:cfRule type="dataBar" id="{FDD3D19E-E97D-46F0-801A-2544CD8EF6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I39:BD39</xm:sqref>
        </x14:conditionalFormatting>
        <x14:conditionalFormatting xmlns:xm="http://schemas.microsoft.com/office/excel/2006/main">
          <x14:cfRule type="dataBar" id="{AFCC8294-B264-4E46-9798-FB0178A843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I39:BD39</xm:sqref>
        </x14:conditionalFormatting>
        <x14:conditionalFormatting xmlns:xm="http://schemas.microsoft.com/office/excel/2006/main">
          <x14:cfRule type="dataBar" id="{38B52916-9AA0-48B2-8C40-3AF1D814D1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I39:BD44 I50:BD64</xm:sqref>
        </x14:conditionalFormatting>
        <x14:conditionalFormatting xmlns:xm="http://schemas.microsoft.com/office/excel/2006/main">
          <x14:cfRule type="dataBar" id="{CA83558C-5CE3-462F-B2D5-5354BDD6FC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I39:BD44</xm:sqref>
        </x14:conditionalFormatting>
        <x14:conditionalFormatting xmlns:xm="http://schemas.microsoft.com/office/excel/2006/main">
          <x14:cfRule type="dataBar" id="{237A443D-D065-4455-81B7-A613703BFE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I39:BD44</xm:sqref>
        </x14:conditionalFormatting>
        <x14:conditionalFormatting xmlns:xm="http://schemas.microsoft.com/office/excel/2006/main">
          <x14:cfRule type="dataBar" id="{98633F3A-1C20-434E-90D2-B0D5CDF6C5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</xm:sqref>
        </x14:conditionalFormatting>
        <x14:conditionalFormatting xmlns:xm="http://schemas.microsoft.com/office/excel/2006/main">
          <x14:cfRule type="dataBar" id="{68081394-2DE4-4D91-BE6D-FDEF6C5E3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5FFFC4E3-1365-4674-8894-74918279F1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39B3AE74-7154-41AE-BE84-29D729BF8C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F1FEA638-F1D2-488D-A8CF-49AE9D960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</xm:sqref>
        </x14:conditionalFormatting>
        <x14:conditionalFormatting xmlns:xm="http://schemas.microsoft.com/office/excel/2006/main">
          <x14:cfRule type="dataBar" id="{A3076797-C2FE-40DB-A998-4329AFFA8C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H36</xm:sqref>
        </x14:conditionalFormatting>
        <x14:conditionalFormatting xmlns:xm="http://schemas.microsoft.com/office/excel/2006/main">
          <x14:cfRule type="dataBar" id="{E9DC7888-E95D-4B41-B62A-3B91FA6F6A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I11:BD11</xm:sqref>
        </x14:conditionalFormatting>
        <x14:conditionalFormatting xmlns:xm="http://schemas.microsoft.com/office/excel/2006/main">
          <x14:cfRule type="dataBar" id="{F83E0AA6-42EE-4B11-9A53-EB8F094D9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I11:BD11</xm:sqref>
        </x14:conditionalFormatting>
        <x14:conditionalFormatting xmlns:xm="http://schemas.microsoft.com/office/excel/2006/main">
          <x14:cfRule type="dataBar" id="{DAA61E49-76EE-4C2F-B5C2-1F7AEA29F4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I11:BD11</xm:sqref>
        </x14:conditionalFormatting>
        <x14:conditionalFormatting xmlns:xm="http://schemas.microsoft.com/office/excel/2006/main">
          <x14:cfRule type="dataBar" id="{6B2EE3F6-FD5A-4E21-B1A4-CD15B3DF48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I11:BD15</xm:sqref>
        </x14:conditionalFormatting>
        <x14:conditionalFormatting xmlns:xm="http://schemas.microsoft.com/office/excel/2006/main">
          <x14:cfRule type="dataBar" id="{54275519-F7EC-41FA-B5FA-8BCC51F4D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I11:BD15</xm:sqref>
        </x14:conditionalFormatting>
        <x14:conditionalFormatting xmlns:xm="http://schemas.microsoft.com/office/excel/2006/main">
          <x14:cfRule type="dataBar" id="{369FCFFE-6ACE-43F6-9A0D-0FBAD50108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I11:BD15</xm:sqref>
        </x14:conditionalFormatting>
        <x14:conditionalFormatting xmlns:xm="http://schemas.microsoft.com/office/excel/2006/main">
          <x14:cfRule type="dataBar" id="{A6E778B6-DF40-4268-A6E2-58BC19C2A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I45:BD45</xm:sqref>
        </x14:conditionalFormatting>
        <x14:conditionalFormatting xmlns:xm="http://schemas.microsoft.com/office/excel/2006/main">
          <x14:cfRule type="dataBar" id="{D9158581-1109-4DD5-9867-D3CFD74C49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I45:BD45</xm:sqref>
        </x14:conditionalFormatting>
        <x14:conditionalFormatting xmlns:xm="http://schemas.microsoft.com/office/excel/2006/main">
          <x14:cfRule type="dataBar" id="{1BE8054E-291F-4C7F-9F89-41EA8DEB1A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I45:BD45</xm:sqref>
        </x14:conditionalFormatting>
        <x14:conditionalFormatting xmlns:xm="http://schemas.microsoft.com/office/excel/2006/main">
          <x14:cfRule type="dataBar" id="{78DA6DF0-1C89-4582-A48A-ABDBDA6A17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I45:BD49</xm:sqref>
        </x14:conditionalFormatting>
        <x14:conditionalFormatting xmlns:xm="http://schemas.microsoft.com/office/excel/2006/main">
          <x14:cfRule type="dataBar" id="{F5C4DF6E-D041-4E35-B399-BB9137F64F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I45:BD49</xm:sqref>
        </x14:conditionalFormatting>
        <x14:conditionalFormatting xmlns:xm="http://schemas.microsoft.com/office/excel/2006/main">
          <x14:cfRule type="dataBar" id="{F05A1E81-3F27-4580-9EA9-C2CC88F7A8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I45:BD49</xm:sqref>
        </x14:conditionalFormatting>
        <x14:conditionalFormatting xmlns:xm="http://schemas.microsoft.com/office/excel/2006/main">
          <x14:cfRule type="dataBar" id="{8F69C398-6DD5-4FEA-9C8A-4B0975648A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I10:BE10</xm:sqref>
        </x14:conditionalFormatting>
        <x14:conditionalFormatting xmlns:xm="http://schemas.microsoft.com/office/excel/2006/main">
          <x14:cfRule type="dataBar" id="{CBB2EC4D-63BC-44A4-8E31-B1F1DA55F4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I10:BD10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5"/>
  <sheetViews>
    <sheetView view="pageBreakPreview" topLeftCell="A36" zoomScaleNormal="100" zoomScaleSheetLayoutView="100" workbookViewId="0">
      <selection activeCell="C64" sqref="C64"/>
    </sheetView>
  </sheetViews>
  <sheetFormatPr defaultRowHeight="15" x14ac:dyDescent="0.25"/>
  <cols>
    <col min="1" max="1" width="22.42578125" customWidth="1"/>
    <col min="2" max="2" width="9.140625" style="6"/>
    <col min="3" max="3" width="10.140625" customWidth="1"/>
    <col min="4" max="4" width="19.7109375" customWidth="1"/>
    <col min="5" max="5" width="11.140625" customWidth="1"/>
    <col min="6" max="6" width="19.7109375" customWidth="1"/>
    <col min="7" max="7" width="10.7109375" customWidth="1"/>
    <col min="8" max="8" width="19.5703125" customWidth="1"/>
    <col min="9" max="9" width="6.42578125" customWidth="1"/>
    <col min="10" max="10" width="14.140625" customWidth="1"/>
    <col min="11" max="11" width="3" customWidth="1"/>
    <col min="12" max="12" width="14.42578125" customWidth="1"/>
    <col min="13" max="13" width="10.7109375" customWidth="1"/>
  </cols>
  <sheetData>
    <row r="1" spans="1:10" ht="18.75" x14ac:dyDescent="0.3">
      <c r="A1" s="5" t="s">
        <v>123</v>
      </c>
    </row>
    <row r="3" spans="1:10" x14ac:dyDescent="0.25">
      <c r="A3" s="7" t="s">
        <v>1</v>
      </c>
    </row>
    <row r="4" spans="1:10" x14ac:dyDescent="0.25">
      <c r="A4" t="s">
        <v>124</v>
      </c>
      <c r="D4" s="2">
        <v>1</v>
      </c>
      <c r="E4" t="s">
        <v>49</v>
      </c>
      <c r="J4" s="2"/>
    </row>
    <row r="5" spans="1:10" x14ac:dyDescent="0.25">
      <c r="H5" s="2"/>
      <c r="J5" s="2"/>
    </row>
    <row r="6" spans="1:10" x14ac:dyDescent="0.25">
      <c r="A6" s="13"/>
      <c r="H6" s="2"/>
      <c r="J6" s="2"/>
    </row>
    <row r="7" spans="1:10" x14ac:dyDescent="0.25">
      <c r="A7" s="13"/>
      <c r="H7" s="2"/>
      <c r="J7" s="2"/>
    </row>
    <row r="8" spans="1:10" x14ac:dyDescent="0.25">
      <c r="A8" s="13"/>
      <c r="H8" s="2"/>
      <c r="J8" s="2"/>
    </row>
    <row r="9" spans="1:10" x14ac:dyDescent="0.25">
      <c r="A9" s="13"/>
      <c r="H9" s="2"/>
      <c r="J9" s="2"/>
    </row>
    <row r="11" spans="1:10" x14ac:dyDescent="0.25">
      <c r="A11" s="7" t="s">
        <v>44</v>
      </c>
    </row>
    <row r="12" spans="1:10" hidden="1" x14ac:dyDescent="0.25">
      <c r="C12" t="s">
        <v>107</v>
      </c>
      <c r="D12" s="2">
        <v>0</v>
      </c>
      <c r="E12" t="s">
        <v>3</v>
      </c>
      <c r="F12" s="3">
        <f>B12*D12*365</f>
        <v>0</v>
      </c>
    </row>
    <row r="13" spans="1:10" hidden="1" x14ac:dyDescent="0.25">
      <c r="A13" t="s">
        <v>37</v>
      </c>
      <c r="B13" s="6">
        <v>0</v>
      </c>
      <c r="D13" s="2">
        <v>0</v>
      </c>
      <c r="E13" t="s">
        <v>3</v>
      </c>
      <c r="F13" s="3">
        <f t="shared" ref="F13:F19" si="0">B13*D13*366</f>
        <v>0</v>
      </c>
    </row>
    <row r="14" spans="1:10" hidden="1" x14ac:dyDescent="0.25">
      <c r="A14" t="s">
        <v>2</v>
      </c>
      <c r="B14" s="6">
        <v>121.21</v>
      </c>
      <c r="D14" s="2">
        <v>0</v>
      </c>
      <c r="E14" t="s">
        <v>3</v>
      </c>
      <c r="F14" s="3">
        <f t="shared" si="0"/>
        <v>0</v>
      </c>
    </row>
    <row r="15" spans="1:10" hidden="1" x14ac:dyDescent="0.25">
      <c r="C15" t="s">
        <v>107</v>
      </c>
      <c r="D15" s="2">
        <v>0</v>
      </c>
      <c r="E15" t="s">
        <v>3</v>
      </c>
      <c r="F15" s="3">
        <f t="shared" ref="F15:F16" si="1">B15*D15*365</f>
        <v>0</v>
      </c>
    </row>
    <row r="16" spans="1:10" x14ac:dyDescent="0.25">
      <c r="A16" t="s">
        <v>122</v>
      </c>
      <c r="B16" s="6">
        <v>203</v>
      </c>
      <c r="C16" t="s">
        <v>107</v>
      </c>
      <c r="D16" s="2">
        <v>0</v>
      </c>
      <c r="E16" t="s">
        <v>3</v>
      </c>
      <c r="F16" s="3">
        <f t="shared" si="1"/>
        <v>0</v>
      </c>
      <c r="H16" s="20"/>
    </row>
    <row r="17" spans="1:8" x14ac:dyDescent="0.25">
      <c r="A17" t="s">
        <v>125</v>
      </c>
      <c r="B17" s="6">
        <v>167</v>
      </c>
      <c r="C17" t="s">
        <v>107</v>
      </c>
      <c r="D17" s="2">
        <v>1</v>
      </c>
      <c r="E17" t="s">
        <v>3</v>
      </c>
      <c r="F17" s="3">
        <f>D17*B17*84</f>
        <v>14028</v>
      </c>
      <c r="G17" t="s">
        <v>126</v>
      </c>
      <c r="H17" s="20"/>
    </row>
    <row r="18" spans="1:8" hidden="1" x14ac:dyDescent="0.25">
      <c r="A18" t="s">
        <v>39</v>
      </c>
      <c r="B18" s="6">
        <f>0.15*152.6</f>
        <v>22.889999999999997</v>
      </c>
      <c r="D18" s="2">
        <v>0</v>
      </c>
      <c r="E18" t="s">
        <v>3</v>
      </c>
      <c r="F18" s="3">
        <f t="shared" si="0"/>
        <v>0</v>
      </c>
    </row>
    <row r="19" spans="1:8" hidden="1" x14ac:dyDescent="0.25">
      <c r="A19" t="s">
        <v>4</v>
      </c>
      <c r="B19" s="6">
        <f>30.19+3.17</f>
        <v>33.36</v>
      </c>
      <c r="D19" s="2">
        <f>D14</f>
        <v>0</v>
      </c>
      <c r="E19" t="s">
        <v>3</v>
      </c>
      <c r="F19" s="3">
        <f t="shared" si="0"/>
        <v>0</v>
      </c>
    </row>
    <row r="20" spans="1:8" hidden="1" x14ac:dyDescent="0.25">
      <c r="A20" t="s">
        <v>40</v>
      </c>
      <c r="B20" s="6">
        <f>0.15*200</f>
        <v>30</v>
      </c>
      <c r="D20" s="2">
        <v>0</v>
      </c>
      <c r="E20" t="s">
        <v>3</v>
      </c>
      <c r="F20" s="3">
        <f>B20*D20*366</f>
        <v>0</v>
      </c>
    </row>
    <row r="21" spans="1:8" hidden="1" x14ac:dyDescent="0.25">
      <c r="A21" t="s">
        <v>43</v>
      </c>
      <c r="B21" s="6">
        <v>65</v>
      </c>
      <c r="D21" s="2">
        <v>0</v>
      </c>
      <c r="E21" t="s">
        <v>6</v>
      </c>
      <c r="F21" s="3">
        <v>0</v>
      </c>
    </row>
    <row r="22" spans="1:8" hidden="1" x14ac:dyDescent="0.25">
      <c r="A22" t="s">
        <v>5</v>
      </c>
      <c r="B22" s="6">
        <v>35</v>
      </c>
      <c r="D22" s="2">
        <v>0</v>
      </c>
      <c r="E22" t="s">
        <v>6</v>
      </c>
      <c r="F22" s="3">
        <v>0</v>
      </c>
    </row>
    <row r="23" spans="1:8" ht="3.75" customHeight="1" x14ac:dyDescent="0.25">
      <c r="D23" s="2"/>
      <c r="F23" s="3"/>
    </row>
    <row r="24" spans="1:8" ht="15.75" thickBot="1" x14ac:dyDescent="0.3">
      <c r="A24" t="s">
        <v>7</v>
      </c>
      <c r="F24" s="8">
        <f>SUM(F12:F23)</f>
        <v>14028</v>
      </c>
    </row>
    <row r="25" spans="1:8" ht="15.75" thickTop="1" x14ac:dyDescent="0.25"/>
    <row r="26" spans="1:8" x14ac:dyDescent="0.25">
      <c r="A26" s="7" t="s">
        <v>8</v>
      </c>
    </row>
    <row r="27" spans="1:8" x14ac:dyDescent="0.25">
      <c r="A27" s="9"/>
    </row>
    <row r="28" spans="1:8" x14ac:dyDescent="0.25">
      <c r="A28" t="s">
        <v>45</v>
      </c>
      <c r="B28" s="6">
        <v>0</v>
      </c>
      <c r="D28" t="s">
        <v>9</v>
      </c>
      <c r="F28" s="3">
        <v>2287</v>
      </c>
      <c r="G28" t="s">
        <v>46</v>
      </c>
    </row>
    <row r="29" spans="1:8" hidden="1" x14ac:dyDescent="0.25">
      <c r="A29" t="s">
        <v>108</v>
      </c>
      <c r="B29" s="14">
        <v>0</v>
      </c>
      <c r="D29" t="s">
        <v>47</v>
      </c>
      <c r="F29" s="3">
        <v>3084</v>
      </c>
      <c r="G29" t="s">
        <v>38</v>
      </c>
    </row>
    <row r="30" spans="1:8" x14ac:dyDescent="0.25">
      <c r="A30" t="s">
        <v>120</v>
      </c>
      <c r="B30" s="14">
        <f>(84*3.5)/1878</f>
        <v>0.15654952076677317</v>
      </c>
      <c r="D30" t="s">
        <v>9</v>
      </c>
      <c r="F30" s="3">
        <v>3084</v>
      </c>
      <c r="G30" t="s">
        <v>38</v>
      </c>
    </row>
    <row r="31" spans="1:8" x14ac:dyDescent="0.25">
      <c r="B31" s="14"/>
      <c r="F31" s="3"/>
    </row>
    <row r="32" spans="1:8" x14ac:dyDescent="0.25">
      <c r="B32" s="14"/>
      <c r="F32" s="3"/>
    </row>
    <row r="33" spans="1:8" x14ac:dyDescent="0.25">
      <c r="B33" s="14"/>
      <c r="G33" s="3"/>
    </row>
    <row r="34" spans="1:8" x14ac:dyDescent="0.25">
      <c r="G34" s="3"/>
    </row>
    <row r="35" spans="1:8" x14ac:dyDescent="0.25">
      <c r="G35" s="3"/>
    </row>
    <row r="36" spans="1:8" x14ac:dyDescent="0.25">
      <c r="A36" s="7" t="s">
        <v>10</v>
      </c>
      <c r="G36" s="3"/>
    </row>
    <row r="37" spans="1:8" x14ac:dyDescent="0.25">
      <c r="A37" t="s">
        <v>11</v>
      </c>
      <c r="F37" s="4">
        <v>0.08</v>
      </c>
    </row>
    <row r="38" spans="1:8" x14ac:dyDescent="0.25">
      <c r="A38" t="s">
        <v>12</v>
      </c>
      <c r="F38" s="4">
        <v>7.0499999999999993E-2</v>
      </c>
    </row>
    <row r="39" spans="1:8" x14ac:dyDescent="0.25">
      <c r="A39" t="s">
        <v>121</v>
      </c>
      <c r="F39" s="4">
        <v>0.18</v>
      </c>
    </row>
    <row r="40" spans="1:8" x14ac:dyDescent="0.25">
      <c r="A40" t="s">
        <v>13</v>
      </c>
      <c r="F40" s="4">
        <v>0.16</v>
      </c>
    </row>
    <row r="41" spans="1:8" x14ac:dyDescent="0.25">
      <c r="A41" t="s">
        <v>14</v>
      </c>
      <c r="F41" s="4">
        <v>8.2500000000000004E-2</v>
      </c>
    </row>
    <row r="42" spans="1:8" hidden="1" x14ac:dyDescent="0.25">
      <c r="A42" t="s">
        <v>15</v>
      </c>
      <c r="F42" s="4">
        <v>0</v>
      </c>
    </row>
    <row r="43" spans="1:8" hidden="1" x14ac:dyDescent="0.25">
      <c r="A43" t="s">
        <v>16</v>
      </c>
      <c r="F43" s="4">
        <v>4.7E-2</v>
      </c>
    </row>
    <row r="44" spans="1:8" hidden="1" x14ac:dyDescent="0.25">
      <c r="A44" t="s">
        <v>17</v>
      </c>
      <c r="F44" s="4">
        <v>0</v>
      </c>
    </row>
    <row r="45" spans="1:8" hidden="1" x14ac:dyDescent="0.25">
      <c r="A45" t="s">
        <v>18</v>
      </c>
      <c r="F45" s="4">
        <v>7.2749999999999995E-2</v>
      </c>
      <c r="H45" s="21"/>
    </row>
    <row r="46" spans="1:8" hidden="1" x14ac:dyDescent="0.25">
      <c r="A46" t="s">
        <v>19</v>
      </c>
      <c r="F46" s="4">
        <v>0</v>
      </c>
      <c r="H46" s="3"/>
    </row>
    <row r="47" spans="1:8" hidden="1" x14ac:dyDescent="0.25">
      <c r="A47" t="s">
        <v>20</v>
      </c>
      <c r="F47" s="12">
        <v>0</v>
      </c>
      <c r="H47" s="3"/>
    </row>
    <row r="48" spans="1:8" hidden="1" x14ac:dyDescent="0.25">
      <c r="A48" t="s">
        <v>21</v>
      </c>
      <c r="F48" s="3">
        <v>0</v>
      </c>
      <c r="H48" s="3"/>
    </row>
    <row r="49" spans="1:8" x14ac:dyDescent="0.25">
      <c r="A49" t="s">
        <v>127</v>
      </c>
      <c r="F49" s="4">
        <v>0.18</v>
      </c>
      <c r="H49" s="3"/>
    </row>
    <row r="50" spans="1:8" x14ac:dyDescent="0.25">
      <c r="F50" s="4"/>
      <c r="H50" s="3"/>
    </row>
    <row r="53" spans="1:8" x14ac:dyDescent="0.25">
      <c r="A53" s="1" t="s">
        <v>22</v>
      </c>
      <c r="D53" s="10"/>
    </row>
    <row r="54" spans="1:8" x14ac:dyDescent="0.25">
      <c r="D54" s="10" t="s">
        <v>119</v>
      </c>
    </row>
    <row r="55" spans="1:8" hidden="1" x14ac:dyDescent="0.25">
      <c r="A55" t="s">
        <v>23</v>
      </c>
      <c r="D55" s="3">
        <f>(F12+F15+F16+F17)*0.875</f>
        <v>12274.5</v>
      </c>
    </row>
    <row r="56" spans="1:8" hidden="1" x14ac:dyDescent="0.25">
      <c r="A56" t="s">
        <v>24</v>
      </c>
      <c r="D56" s="11">
        <f>(F13+F16+F17+F18)*0.125</f>
        <v>1753.5</v>
      </c>
    </row>
    <row r="57" spans="1:8" x14ac:dyDescent="0.25">
      <c r="A57" t="s">
        <v>0</v>
      </c>
      <c r="D57" s="3">
        <f>D55+D56</f>
        <v>14028</v>
      </c>
    </row>
    <row r="58" spans="1:8" x14ac:dyDescent="0.25">
      <c r="D58" s="3"/>
    </row>
    <row r="59" spans="1:8" x14ac:dyDescent="0.25">
      <c r="A59" t="s">
        <v>25</v>
      </c>
      <c r="D59" s="3">
        <f>((F28*B28*12)+(F29*B29*12)+(F30*B30*12)+(F31*B31*12)+(F32*B32*12)+((F28*B28*12)+(F29*B29*12)+(F30*B30*12)+(F31*B31*12)+(F32*B32*12))*F37+((F28*B28*12)+(F29*B29*12)+(F30*B30*12)+(F31*B31*12)+(F32*B32*12))*F38+((F29*B29*12)+(B31*F31*12)+(B30*F30*12)+(F32*B32*12))*F39)</f>
        <v>7708.3643961661337</v>
      </c>
    </row>
    <row r="60" spans="1:8" x14ac:dyDescent="0.25">
      <c r="A60" t="s">
        <v>26</v>
      </c>
      <c r="D60" s="11">
        <f>D59*F41+D59*F40+F32*F40*F41</f>
        <v>1869.2783660702876</v>
      </c>
    </row>
    <row r="61" spans="1:8" x14ac:dyDescent="0.25">
      <c r="A61" t="s">
        <v>27</v>
      </c>
      <c r="D61" s="3">
        <f>D59+D60</f>
        <v>9577.6427622364208</v>
      </c>
    </row>
    <row r="62" spans="1:8" x14ac:dyDescent="0.25">
      <c r="D62" s="3"/>
    </row>
    <row r="63" spans="1:8" x14ac:dyDescent="0.25">
      <c r="A63" t="s">
        <v>28</v>
      </c>
      <c r="D63" s="3">
        <f>F42*D61</f>
        <v>0</v>
      </c>
    </row>
    <row r="64" spans="1:8" x14ac:dyDescent="0.25">
      <c r="A64" t="s">
        <v>29</v>
      </c>
      <c r="D64" s="3">
        <f>84*7.95</f>
        <v>667.80000000000007</v>
      </c>
      <c r="E64" s="13" t="s">
        <v>128</v>
      </c>
    </row>
    <row r="65" spans="1:5" x14ac:dyDescent="0.25">
      <c r="A65" t="s">
        <v>30</v>
      </c>
      <c r="D65" s="3">
        <f>F44*(D57+F57)</f>
        <v>0</v>
      </c>
    </row>
    <row r="66" spans="1:5" x14ac:dyDescent="0.25">
      <c r="A66" t="s">
        <v>31</v>
      </c>
      <c r="D66" s="3">
        <f>84*12.3</f>
        <v>1033.2</v>
      </c>
      <c r="E66" s="13" t="s">
        <v>129</v>
      </c>
    </row>
    <row r="67" spans="1:5" x14ac:dyDescent="0.25">
      <c r="A67" t="s">
        <v>41</v>
      </c>
      <c r="D67" s="3">
        <f>(F46*(D57+F57))/2</f>
        <v>0</v>
      </c>
    </row>
    <row r="68" spans="1:5" x14ac:dyDescent="0.25">
      <c r="A68" t="s">
        <v>42</v>
      </c>
      <c r="D68" s="3">
        <v>0</v>
      </c>
    </row>
    <row r="69" spans="1:5" x14ac:dyDescent="0.25">
      <c r="A69" t="s">
        <v>32</v>
      </c>
      <c r="D69" s="11">
        <v>0</v>
      </c>
    </row>
    <row r="70" spans="1:5" x14ac:dyDescent="0.25">
      <c r="A70" t="s">
        <v>33</v>
      </c>
      <c r="D70" s="3">
        <f>SUM(D63:D69)</f>
        <v>1701</v>
      </c>
    </row>
    <row r="71" spans="1:5" x14ac:dyDescent="0.25">
      <c r="D71" s="3"/>
    </row>
    <row r="72" spans="1:5" x14ac:dyDescent="0.25">
      <c r="A72" t="s">
        <v>34</v>
      </c>
      <c r="D72" s="3">
        <f>D57-D61-D70</f>
        <v>2749.3572377635792</v>
      </c>
    </row>
    <row r="73" spans="1:5" x14ac:dyDescent="0.25">
      <c r="A73" t="s">
        <v>35</v>
      </c>
      <c r="D73" s="3">
        <f>D57*F49+D57*F50+1/9*(F49*D56+F50*D56)</f>
        <v>2560.11</v>
      </c>
      <c r="E73" s="3"/>
    </row>
    <row r="74" spans="1:5" ht="15.75" thickBot="1" x14ac:dyDescent="0.3">
      <c r="A74" t="s">
        <v>36</v>
      </c>
      <c r="D74" s="8">
        <f>D72-D73</f>
        <v>189.24723776357905</v>
      </c>
    </row>
    <row r="75" spans="1:5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50" max="16383" man="1"/>
  </rowBreaks>
  <colBreaks count="1" manualBreakCount="1">
    <brk id="9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5"/>
  <sheetViews>
    <sheetView view="pageBreakPreview" topLeftCell="A36" zoomScaleNormal="100" zoomScaleSheetLayoutView="100" workbookViewId="0">
      <selection activeCell="F49" sqref="F49"/>
    </sheetView>
  </sheetViews>
  <sheetFormatPr defaultRowHeight="15" x14ac:dyDescent="0.25"/>
  <cols>
    <col min="1" max="1" width="22.42578125" customWidth="1"/>
    <col min="2" max="2" width="9.140625" style="6"/>
    <col min="3" max="3" width="10.140625" customWidth="1"/>
    <col min="4" max="4" width="19.7109375" customWidth="1"/>
    <col min="5" max="5" width="11.140625" customWidth="1"/>
    <col min="6" max="6" width="19.7109375" customWidth="1"/>
    <col min="7" max="7" width="10.7109375" customWidth="1"/>
    <col min="8" max="8" width="19.5703125" customWidth="1"/>
    <col min="9" max="9" width="6.42578125" customWidth="1"/>
    <col min="10" max="10" width="14.140625" customWidth="1"/>
    <col min="11" max="11" width="3" customWidth="1"/>
    <col min="12" max="12" width="14.42578125" customWidth="1"/>
    <col min="13" max="13" width="10.7109375" customWidth="1"/>
  </cols>
  <sheetData>
    <row r="1" spans="1:10" ht="18.75" x14ac:dyDescent="0.3">
      <c r="A1" s="5" t="s">
        <v>123</v>
      </c>
    </row>
    <row r="3" spans="1:10" x14ac:dyDescent="0.25">
      <c r="A3" s="7" t="s">
        <v>1</v>
      </c>
    </row>
    <row r="4" spans="1:10" x14ac:dyDescent="0.25">
      <c r="A4" t="s">
        <v>124</v>
      </c>
      <c r="D4" s="2">
        <v>1</v>
      </c>
      <c r="E4" t="s">
        <v>49</v>
      </c>
      <c r="J4" s="2"/>
    </row>
    <row r="5" spans="1:10" x14ac:dyDescent="0.25">
      <c r="H5" s="2"/>
      <c r="J5" s="2"/>
    </row>
    <row r="6" spans="1:10" x14ac:dyDescent="0.25">
      <c r="A6" s="13"/>
      <c r="H6" s="2"/>
      <c r="J6" s="2"/>
    </row>
    <row r="7" spans="1:10" x14ac:dyDescent="0.25">
      <c r="A7" s="13"/>
      <c r="H7" s="2"/>
      <c r="J7" s="2"/>
    </row>
    <row r="8" spans="1:10" x14ac:dyDescent="0.25">
      <c r="A8" s="13"/>
      <c r="H8" s="2"/>
      <c r="J8" s="2"/>
    </row>
    <row r="9" spans="1:10" x14ac:dyDescent="0.25">
      <c r="A9" s="13"/>
      <c r="H9" s="2"/>
      <c r="J9" s="2"/>
    </row>
    <row r="11" spans="1:10" x14ac:dyDescent="0.25">
      <c r="A11" s="7" t="s">
        <v>44</v>
      </c>
    </row>
    <row r="12" spans="1:10" hidden="1" x14ac:dyDescent="0.25">
      <c r="C12" t="s">
        <v>107</v>
      </c>
      <c r="D12" s="2">
        <v>0</v>
      </c>
      <c r="E12" t="s">
        <v>3</v>
      </c>
      <c r="F12" s="3">
        <f>B12*D12*365</f>
        <v>0</v>
      </c>
    </row>
    <row r="13" spans="1:10" hidden="1" x14ac:dyDescent="0.25">
      <c r="A13" t="s">
        <v>37</v>
      </c>
      <c r="B13" s="6">
        <v>0</v>
      </c>
      <c r="D13" s="2">
        <v>0</v>
      </c>
      <c r="E13" t="s">
        <v>3</v>
      </c>
      <c r="F13" s="3">
        <f t="shared" ref="F13:F19" si="0">B13*D13*366</f>
        <v>0</v>
      </c>
    </row>
    <row r="14" spans="1:10" hidden="1" x14ac:dyDescent="0.25">
      <c r="A14" t="s">
        <v>2</v>
      </c>
      <c r="B14" s="6">
        <v>121.21</v>
      </c>
      <c r="D14" s="2">
        <v>0</v>
      </c>
      <c r="E14" t="s">
        <v>3</v>
      </c>
      <c r="F14" s="3">
        <f t="shared" si="0"/>
        <v>0</v>
      </c>
    </row>
    <row r="15" spans="1:10" hidden="1" x14ac:dyDescent="0.25">
      <c r="C15" t="s">
        <v>107</v>
      </c>
      <c r="D15" s="2">
        <v>0</v>
      </c>
      <c r="E15" t="s">
        <v>3</v>
      </c>
      <c r="F15" s="3">
        <f t="shared" ref="F15:F16" si="1">B15*D15*365</f>
        <v>0</v>
      </c>
    </row>
    <row r="16" spans="1:10" x14ac:dyDescent="0.25">
      <c r="A16" t="s">
        <v>122</v>
      </c>
      <c r="B16" s="6">
        <v>203</v>
      </c>
      <c r="C16" t="s">
        <v>107</v>
      </c>
      <c r="D16" s="2">
        <v>0</v>
      </c>
      <c r="E16" t="s">
        <v>3</v>
      </c>
      <c r="F16" s="3">
        <f t="shared" si="1"/>
        <v>0</v>
      </c>
      <c r="H16" s="20"/>
    </row>
    <row r="17" spans="1:8" x14ac:dyDescent="0.25">
      <c r="A17" t="s">
        <v>125</v>
      </c>
      <c r="B17" s="6">
        <v>167</v>
      </c>
      <c r="C17" t="s">
        <v>107</v>
      </c>
      <c r="D17" s="2">
        <v>1</v>
      </c>
      <c r="E17" t="s">
        <v>3</v>
      </c>
      <c r="F17" s="3">
        <f>D17*B17*84</f>
        <v>14028</v>
      </c>
      <c r="G17" t="s">
        <v>126</v>
      </c>
      <c r="H17" s="20"/>
    </row>
    <row r="18" spans="1:8" hidden="1" x14ac:dyDescent="0.25">
      <c r="A18" t="s">
        <v>39</v>
      </c>
      <c r="B18" s="6">
        <f>0.15*152.6</f>
        <v>22.889999999999997</v>
      </c>
      <c r="D18" s="2">
        <v>0</v>
      </c>
      <c r="E18" t="s">
        <v>3</v>
      </c>
      <c r="F18" s="3">
        <f t="shared" si="0"/>
        <v>0</v>
      </c>
    </row>
    <row r="19" spans="1:8" hidden="1" x14ac:dyDescent="0.25">
      <c r="A19" t="s">
        <v>4</v>
      </c>
      <c r="B19" s="6">
        <f>30.19+3.17</f>
        <v>33.36</v>
      </c>
      <c r="D19" s="2">
        <f>D14</f>
        <v>0</v>
      </c>
      <c r="E19" t="s">
        <v>3</v>
      </c>
      <c r="F19" s="3">
        <f t="shared" si="0"/>
        <v>0</v>
      </c>
    </row>
    <row r="20" spans="1:8" hidden="1" x14ac:dyDescent="0.25">
      <c r="A20" t="s">
        <v>40</v>
      </c>
      <c r="B20" s="6">
        <f>0.15*200</f>
        <v>30</v>
      </c>
      <c r="D20" s="2">
        <v>0</v>
      </c>
      <c r="E20" t="s">
        <v>3</v>
      </c>
      <c r="F20" s="3">
        <f>B20*D20*366</f>
        <v>0</v>
      </c>
    </row>
    <row r="21" spans="1:8" hidden="1" x14ac:dyDescent="0.25">
      <c r="A21" t="s">
        <v>43</v>
      </c>
      <c r="B21" s="6">
        <v>65</v>
      </c>
      <c r="D21" s="2">
        <v>0</v>
      </c>
      <c r="E21" t="s">
        <v>6</v>
      </c>
      <c r="F21" s="3">
        <v>0</v>
      </c>
    </row>
    <row r="22" spans="1:8" hidden="1" x14ac:dyDescent="0.25">
      <c r="A22" t="s">
        <v>5</v>
      </c>
      <c r="B22" s="6">
        <v>35</v>
      </c>
      <c r="D22" s="2">
        <v>0</v>
      </c>
      <c r="E22" t="s">
        <v>6</v>
      </c>
      <c r="F22" s="3">
        <v>0</v>
      </c>
    </row>
    <row r="23" spans="1:8" ht="3.75" customHeight="1" x14ac:dyDescent="0.25">
      <c r="D23" s="2"/>
      <c r="F23" s="3"/>
    </row>
    <row r="24" spans="1:8" ht="15.75" thickBot="1" x14ac:dyDescent="0.3">
      <c r="A24" t="s">
        <v>7</v>
      </c>
      <c r="F24" s="8">
        <f>SUM(F12:F23)</f>
        <v>14028</v>
      </c>
    </row>
    <row r="25" spans="1:8" ht="15.75" thickTop="1" x14ac:dyDescent="0.25"/>
    <row r="26" spans="1:8" x14ac:dyDescent="0.25">
      <c r="A26" s="7" t="s">
        <v>8</v>
      </c>
    </row>
    <row r="27" spans="1:8" x14ac:dyDescent="0.25">
      <c r="A27" s="9"/>
    </row>
    <row r="28" spans="1:8" x14ac:dyDescent="0.25">
      <c r="A28" t="s">
        <v>45</v>
      </c>
      <c r="B28" s="6">
        <v>0</v>
      </c>
      <c r="D28" t="s">
        <v>9</v>
      </c>
      <c r="F28" s="3">
        <v>2287</v>
      </c>
      <c r="G28" t="s">
        <v>46</v>
      </c>
    </row>
    <row r="29" spans="1:8" hidden="1" x14ac:dyDescent="0.25">
      <c r="A29" t="s">
        <v>108</v>
      </c>
      <c r="B29" s="14">
        <v>0</v>
      </c>
      <c r="D29" t="s">
        <v>47</v>
      </c>
      <c r="F29" s="3">
        <v>3084</v>
      </c>
      <c r="G29" t="s">
        <v>38</v>
      </c>
    </row>
    <row r="30" spans="1:8" x14ac:dyDescent="0.25">
      <c r="A30" t="s">
        <v>120</v>
      </c>
      <c r="B30" s="14">
        <f>(84*3.75)/1878</f>
        <v>0.16773162939297126</v>
      </c>
      <c r="D30" t="s">
        <v>9</v>
      </c>
      <c r="F30" s="3">
        <v>3084</v>
      </c>
      <c r="G30" t="s">
        <v>38</v>
      </c>
    </row>
    <row r="31" spans="1:8" x14ac:dyDescent="0.25">
      <c r="B31" s="14"/>
      <c r="F31" s="3"/>
    </row>
    <row r="32" spans="1:8" x14ac:dyDescent="0.25">
      <c r="B32" s="14"/>
      <c r="F32" s="3"/>
    </row>
    <row r="33" spans="1:8" x14ac:dyDescent="0.25">
      <c r="B33" s="14"/>
      <c r="G33" s="3"/>
    </row>
    <row r="34" spans="1:8" x14ac:dyDescent="0.25">
      <c r="G34" s="3"/>
    </row>
    <row r="35" spans="1:8" x14ac:dyDescent="0.25">
      <c r="G35" s="3"/>
    </row>
    <row r="36" spans="1:8" x14ac:dyDescent="0.25">
      <c r="A36" s="7" t="s">
        <v>10</v>
      </c>
      <c r="G36" s="3"/>
    </row>
    <row r="37" spans="1:8" x14ac:dyDescent="0.25">
      <c r="A37" t="s">
        <v>11</v>
      </c>
      <c r="F37" s="4">
        <v>0.08</v>
      </c>
    </row>
    <row r="38" spans="1:8" x14ac:dyDescent="0.25">
      <c r="A38" t="s">
        <v>12</v>
      </c>
      <c r="F38" s="4">
        <v>7.0499999999999993E-2</v>
      </c>
    </row>
    <row r="39" spans="1:8" x14ac:dyDescent="0.25">
      <c r="A39" t="s">
        <v>121</v>
      </c>
      <c r="F39" s="4">
        <v>0.18</v>
      </c>
    </row>
    <row r="40" spans="1:8" x14ac:dyDescent="0.25">
      <c r="A40" t="s">
        <v>13</v>
      </c>
      <c r="F40" s="4">
        <v>0.16</v>
      </c>
    </row>
    <row r="41" spans="1:8" x14ac:dyDescent="0.25">
      <c r="A41" t="s">
        <v>14</v>
      </c>
      <c r="F41" s="4">
        <v>8.2500000000000004E-2</v>
      </c>
    </row>
    <row r="42" spans="1:8" hidden="1" x14ac:dyDescent="0.25">
      <c r="A42" t="s">
        <v>15</v>
      </c>
      <c r="F42" s="4">
        <v>0</v>
      </c>
    </row>
    <row r="43" spans="1:8" hidden="1" x14ac:dyDescent="0.25">
      <c r="A43" t="s">
        <v>16</v>
      </c>
      <c r="F43" s="4">
        <v>4.7E-2</v>
      </c>
    </row>
    <row r="44" spans="1:8" hidden="1" x14ac:dyDescent="0.25">
      <c r="A44" t="s">
        <v>17</v>
      </c>
      <c r="F44" s="4">
        <v>0</v>
      </c>
    </row>
    <row r="45" spans="1:8" hidden="1" x14ac:dyDescent="0.25">
      <c r="A45" t="s">
        <v>18</v>
      </c>
      <c r="F45" s="4">
        <v>7.2749999999999995E-2</v>
      </c>
      <c r="H45" s="21"/>
    </row>
    <row r="46" spans="1:8" hidden="1" x14ac:dyDescent="0.25">
      <c r="A46" t="s">
        <v>19</v>
      </c>
      <c r="F46" s="4">
        <v>0</v>
      </c>
      <c r="H46" s="3"/>
    </row>
    <row r="47" spans="1:8" hidden="1" x14ac:dyDescent="0.25">
      <c r="A47" t="s">
        <v>20</v>
      </c>
      <c r="F47" s="12">
        <v>0</v>
      </c>
      <c r="H47" s="3"/>
    </row>
    <row r="48" spans="1:8" hidden="1" x14ac:dyDescent="0.25">
      <c r="A48" t="s">
        <v>21</v>
      </c>
      <c r="F48" s="3">
        <v>0</v>
      </c>
      <c r="H48" s="3"/>
    </row>
    <row r="49" spans="1:8" x14ac:dyDescent="0.25">
      <c r="A49" t="s">
        <v>127</v>
      </c>
      <c r="F49" s="4">
        <v>0.18</v>
      </c>
      <c r="H49" s="3"/>
    </row>
    <row r="50" spans="1:8" x14ac:dyDescent="0.25">
      <c r="F50" s="4"/>
      <c r="H50" s="3"/>
    </row>
    <row r="53" spans="1:8" x14ac:dyDescent="0.25">
      <c r="A53" s="1" t="s">
        <v>22</v>
      </c>
      <c r="D53" s="10"/>
    </row>
    <row r="54" spans="1:8" x14ac:dyDescent="0.25">
      <c r="D54" s="10" t="s">
        <v>119</v>
      </c>
    </row>
    <row r="55" spans="1:8" hidden="1" x14ac:dyDescent="0.25">
      <c r="A55" t="s">
        <v>23</v>
      </c>
      <c r="D55" s="3">
        <f>(F12+F15+F16+F17)*0.875</f>
        <v>12274.5</v>
      </c>
    </row>
    <row r="56" spans="1:8" hidden="1" x14ac:dyDescent="0.25">
      <c r="A56" t="s">
        <v>24</v>
      </c>
      <c r="D56" s="11">
        <f>(F13+F16+F17+F18)*0.125</f>
        <v>1753.5</v>
      </c>
    </row>
    <row r="57" spans="1:8" x14ac:dyDescent="0.25">
      <c r="A57" t="s">
        <v>0</v>
      </c>
      <c r="D57" s="3">
        <f>D55+D56</f>
        <v>14028</v>
      </c>
    </row>
    <row r="58" spans="1:8" x14ac:dyDescent="0.25">
      <c r="D58" s="3"/>
    </row>
    <row r="59" spans="1:8" x14ac:dyDescent="0.25">
      <c r="A59" t="s">
        <v>25</v>
      </c>
      <c r="D59" s="3">
        <f>((F28*B28*12)+(F29*B29*12)+(F30*B30*12)+(F31*B31*12)+(F32*B32*12)+((F28*B28*12)+(F29*B29*12)+(F30*B30*12)+(F31*B31*12)+(F32*B32*12))*F37+((F28*B28*12)+(F29*B29*12)+(F30*B30*12)+(F31*B31*12)+(F32*B32*12))*F38+((F29*B29*12)+(B31*F31*12)+(B30*F30*12)+(F32*B32*12))*F39)</f>
        <v>8258.9618530351436</v>
      </c>
    </row>
    <row r="60" spans="1:8" x14ac:dyDescent="0.25">
      <c r="A60" t="s">
        <v>26</v>
      </c>
      <c r="D60" s="11">
        <f>D59*F41+D59*F40+F32*F40*F41</f>
        <v>2002.7982493610225</v>
      </c>
    </row>
    <row r="61" spans="1:8" x14ac:dyDescent="0.25">
      <c r="A61" t="s">
        <v>27</v>
      </c>
      <c r="D61" s="3">
        <f>D59+D60</f>
        <v>10261.760102396165</v>
      </c>
    </row>
    <row r="62" spans="1:8" x14ac:dyDescent="0.25">
      <c r="D62" s="3"/>
    </row>
    <row r="63" spans="1:8" x14ac:dyDescent="0.25">
      <c r="A63" t="s">
        <v>28</v>
      </c>
      <c r="D63" s="3">
        <f>F42*D61</f>
        <v>0</v>
      </c>
    </row>
    <row r="64" spans="1:8" x14ac:dyDescent="0.25">
      <c r="A64" t="s">
        <v>29</v>
      </c>
      <c r="D64" s="3">
        <f>84*7.95</f>
        <v>667.80000000000007</v>
      </c>
      <c r="E64" s="13" t="s">
        <v>128</v>
      </c>
    </row>
    <row r="65" spans="1:5" x14ac:dyDescent="0.25">
      <c r="A65" t="s">
        <v>30</v>
      </c>
      <c r="D65" s="3">
        <f>F44*(D57+F57)</f>
        <v>0</v>
      </c>
    </row>
    <row r="66" spans="1:5" x14ac:dyDescent="0.25">
      <c r="A66" t="s">
        <v>31</v>
      </c>
      <c r="D66" s="3">
        <f>84*5.95</f>
        <v>499.8</v>
      </c>
      <c r="E66" s="13" t="s">
        <v>130</v>
      </c>
    </row>
    <row r="67" spans="1:5" x14ac:dyDescent="0.25">
      <c r="A67" t="s">
        <v>41</v>
      </c>
      <c r="D67" s="3">
        <f>(F46*(D57+F57))/2</f>
        <v>0</v>
      </c>
    </row>
    <row r="68" spans="1:5" x14ac:dyDescent="0.25">
      <c r="A68" t="s">
        <v>42</v>
      </c>
      <c r="D68" s="3">
        <v>0</v>
      </c>
    </row>
    <row r="69" spans="1:5" x14ac:dyDescent="0.25">
      <c r="A69" t="s">
        <v>32</v>
      </c>
      <c r="D69" s="11">
        <v>0</v>
      </c>
    </row>
    <row r="70" spans="1:5" x14ac:dyDescent="0.25">
      <c r="A70" t="s">
        <v>33</v>
      </c>
      <c r="D70" s="3">
        <f>SUM(D63:D69)</f>
        <v>1167.6000000000001</v>
      </c>
    </row>
    <row r="71" spans="1:5" x14ac:dyDescent="0.25">
      <c r="D71" s="3"/>
    </row>
    <row r="72" spans="1:5" x14ac:dyDescent="0.25">
      <c r="A72" t="s">
        <v>34</v>
      </c>
      <c r="D72" s="3">
        <f>D57-D61-D70</f>
        <v>2598.6398976038345</v>
      </c>
    </row>
    <row r="73" spans="1:5" x14ac:dyDescent="0.25">
      <c r="A73" t="s">
        <v>35</v>
      </c>
      <c r="D73" s="3">
        <f>D57*F49+D57*F50+1/9*(F49*D56+F50*D56)</f>
        <v>2560.11</v>
      </c>
      <c r="E73" s="3"/>
    </row>
    <row r="74" spans="1:5" ht="15.75" thickBot="1" x14ac:dyDescent="0.3">
      <c r="A74" t="s">
        <v>36</v>
      </c>
      <c r="D74" s="8">
        <f>D72-D73</f>
        <v>38.529897603834343</v>
      </c>
    </row>
    <row r="75" spans="1:5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50" max="16383" man="1"/>
  </rowBreaks>
  <colBreaks count="1" manualBreakCount="1">
    <brk id="9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view="pageBreakPreview" topLeftCell="A30" zoomScaleNormal="100" zoomScaleSheetLayoutView="100" workbookViewId="0">
      <selection activeCell="F50" sqref="F50"/>
    </sheetView>
  </sheetViews>
  <sheetFormatPr defaultRowHeight="15" x14ac:dyDescent="0.25"/>
  <cols>
    <col min="1" max="1" width="22.42578125" customWidth="1"/>
    <col min="2" max="2" width="9.140625" style="6"/>
    <col min="3" max="3" width="10.140625" customWidth="1"/>
    <col min="4" max="4" width="19.7109375" customWidth="1"/>
    <col min="5" max="5" width="11.140625" customWidth="1"/>
    <col min="6" max="6" width="19.7109375" customWidth="1"/>
    <col min="7" max="7" width="10.7109375" customWidth="1"/>
    <col min="8" max="8" width="19.5703125" customWidth="1"/>
    <col min="9" max="9" width="6.42578125" customWidth="1"/>
    <col min="10" max="10" width="14.140625" customWidth="1"/>
    <col min="11" max="11" width="3" customWidth="1"/>
    <col min="12" max="12" width="14.42578125" customWidth="1"/>
    <col min="13" max="13" width="10.7109375" customWidth="1"/>
  </cols>
  <sheetData>
    <row r="1" spans="1:10" ht="18.75" x14ac:dyDescent="0.3">
      <c r="A1" s="5" t="s">
        <v>123</v>
      </c>
    </row>
    <row r="3" spans="1:10" x14ac:dyDescent="0.25">
      <c r="A3" s="7" t="s">
        <v>1</v>
      </c>
    </row>
    <row r="4" spans="1:10" x14ac:dyDescent="0.25">
      <c r="A4" t="s">
        <v>124</v>
      </c>
      <c r="D4" s="2">
        <v>1</v>
      </c>
      <c r="E4" t="s">
        <v>49</v>
      </c>
      <c r="J4" s="2"/>
    </row>
    <row r="5" spans="1:10" x14ac:dyDescent="0.25">
      <c r="H5" s="2"/>
      <c r="J5" s="2"/>
    </row>
    <row r="6" spans="1:10" x14ac:dyDescent="0.25">
      <c r="A6" s="13"/>
      <c r="H6" s="2"/>
      <c r="J6" s="2"/>
    </row>
    <row r="7" spans="1:10" x14ac:dyDescent="0.25">
      <c r="A7" s="13"/>
      <c r="H7" s="2"/>
      <c r="J7" s="2"/>
    </row>
    <row r="8" spans="1:10" x14ac:dyDescent="0.25">
      <c r="A8" s="13"/>
      <c r="H8" s="2"/>
      <c r="J8" s="2"/>
    </row>
    <row r="9" spans="1:10" x14ac:dyDescent="0.25">
      <c r="A9" s="13"/>
      <c r="H9" s="2"/>
      <c r="J9" s="2"/>
    </row>
    <row r="11" spans="1:10" x14ac:dyDescent="0.25">
      <c r="A11" s="7" t="s">
        <v>44</v>
      </c>
    </row>
    <row r="12" spans="1:10" hidden="1" x14ac:dyDescent="0.25">
      <c r="C12" t="s">
        <v>107</v>
      </c>
      <c r="D12" s="2">
        <v>0</v>
      </c>
      <c r="E12" t="s">
        <v>3</v>
      </c>
      <c r="F12" s="3">
        <f>B12*D12*365</f>
        <v>0</v>
      </c>
    </row>
    <row r="13" spans="1:10" hidden="1" x14ac:dyDescent="0.25">
      <c r="A13" t="s">
        <v>37</v>
      </c>
      <c r="B13" s="6">
        <v>0</v>
      </c>
      <c r="D13" s="2">
        <v>0</v>
      </c>
      <c r="E13" t="s">
        <v>3</v>
      </c>
      <c r="F13" s="3">
        <f t="shared" ref="F13:F19" si="0">B13*D13*366</f>
        <v>0</v>
      </c>
    </row>
    <row r="14" spans="1:10" hidden="1" x14ac:dyDescent="0.25">
      <c r="A14" t="s">
        <v>2</v>
      </c>
      <c r="B14" s="6">
        <v>121.21</v>
      </c>
      <c r="D14" s="2">
        <v>0</v>
      </c>
      <c r="E14" t="s">
        <v>3</v>
      </c>
      <c r="F14" s="3">
        <f t="shared" si="0"/>
        <v>0</v>
      </c>
    </row>
    <row r="15" spans="1:10" hidden="1" x14ac:dyDescent="0.25">
      <c r="C15" t="s">
        <v>107</v>
      </c>
      <c r="D15" s="2">
        <v>0</v>
      </c>
      <c r="E15" t="s">
        <v>3</v>
      </c>
      <c r="F15" s="3">
        <f t="shared" ref="F15:F16" si="1">B15*D15*365</f>
        <v>0</v>
      </c>
    </row>
    <row r="16" spans="1:10" x14ac:dyDescent="0.25">
      <c r="A16" t="s">
        <v>122</v>
      </c>
      <c r="B16" s="6">
        <v>203</v>
      </c>
      <c r="C16" t="s">
        <v>107</v>
      </c>
      <c r="D16" s="2">
        <v>0</v>
      </c>
      <c r="E16" t="s">
        <v>3</v>
      </c>
      <c r="F16" s="3">
        <f t="shared" si="1"/>
        <v>0</v>
      </c>
      <c r="H16" s="20"/>
    </row>
    <row r="17" spans="1:8" x14ac:dyDescent="0.25">
      <c r="A17" t="s">
        <v>125</v>
      </c>
      <c r="B17" s="6">
        <v>167</v>
      </c>
      <c r="C17" t="s">
        <v>107</v>
      </c>
      <c r="D17" s="2">
        <v>1</v>
      </c>
      <c r="E17" t="s">
        <v>3</v>
      </c>
      <c r="F17" s="3">
        <f>D17*B17*84</f>
        <v>14028</v>
      </c>
      <c r="G17" t="s">
        <v>126</v>
      </c>
      <c r="H17" s="20"/>
    </row>
    <row r="18" spans="1:8" hidden="1" x14ac:dyDescent="0.25">
      <c r="A18" t="s">
        <v>39</v>
      </c>
      <c r="B18" s="6">
        <f>0.15*152.6</f>
        <v>22.889999999999997</v>
      </c>
      <c r="D18" s="2">
        <v>0</v>
      </c>
      <c r="E18" t="s">
        <v>3</v>
      </c>
      <c r="F18" s="3">
        <f t="shared" si="0"/>
        <v>0</v>
      </c>
    </row>
    <row r="19" spans="1:8" hidden="1" x14ac:dyDescent="0.25">
      <c r="A19" t="s">
        <v>4</v>
      </c>
      <c r="B19" s="6">
        <f>30.19+3.17</f>
        <v>33.36</v>
      </c>
      <c r="D19" s="2">
        <f>D14</f>
        <v>0</v>
      </c>
      <c r="E19" t="s">
        <v>3</v>
      </c>
      <c r="F19" s="3">
        <f t="shared" si="0"/>
        <v>0</v>
      </c>
    </row>
    <row r="20" spans="1:8" hidden="1" x14ac:dyDescent="0.25">
      <c r="A20" t="s">
        <v>40</v>
      </c>
      <c r="B20" s="6">
        <f>0.15*200</f>
        <v>30</v>
      </c>
      <c r="D20" s="2">
        <v>0</v>
      </c>
      <c r="E20" t="s">
        <v>3</v>
      </c>
      <c r="F20" s="3">
        <f>B20*D20*366</f>
        <v>0</v>
      </c>
    </row>
    <row r="21" spans="1:8" hidden="1" x14ac:dyDescent="0.25">
      <c r="A21" t="s">
        <v>43</v>
      </c>
      <c r="B21" s="6">
        <v>65</v>
      </c>
      <c r="D21" s="2">
        <v>0</v>
      </c>
      <c r="E21" t="s">
        <v>6</v>
      </c>
      <c r="F21" s="3">
        <v>0</v>
      </c>
    </row>
    <row r="22" spans="1:8" hidden="1" x14ac:dyDescent="0.25">
      <c r="A22" t="s">
        <v>5</v>
      </c>
      <c r="B22" s="6">
        <v>35</v>
      </c>
      <c r="D22" s="2">
        <v>0</v>
      </c>
      <c r="E22" t="s">
        <v>6</v>
      </c>
      <c r="F22" s="3">
        <v>0</v>
      </c>
    </row>
    <row r="23" spans="1:8" ht="3.75" customHeight="1" x14ac:dyDescent="0.25">
      <c r="D23" s="2"/>
      <c r="F23" s="3"/>
    </row>
    <row r="24" spans="1:8" ht="15.75" thickBot="1" x14ac:dyDescent="0.3">
      <c r="A24" t="s">
        <v>7</v>
      </c>
      <c r="F24" s="8">
        <f>SUM(F12:F23)</f>
        <v>14028</v>
      </c>
    </row>
    <row r="25" spans="1:8" ht="15.75" thickTop="1" x14ac:dyDescent="0.25"/>
    <row r="26" spans="1:8" x14ac:dyDescent="0.25">
      <c r="A26" s="7" t="s">
        <v>8</v>
      </c>
    </row>
    <row r="27" spans="1:8" x14ac:dyDescent="0.25">
      <c r="A27" s="9"/>
    </row>
    <row r="28" spans="1:8" x14ac:dyDescent="0.25">
      <c r="A28" t="s">
        <v>45</v>
      </c>
      <c r="B28" s="6">
        <v>0</v>
      </c>
      <c r="D28" t="s">
        <v>9</v>
      </c>
      <c r="F28" s="3">
        <v>2287</v>
      </c>
      <c r="G28" t="s">
        <v>46</v>
      </c>
    </row>
    <row r="29" spans="1:8" hidden="1" x14ac:dyDescent="0.25">
      <c r="A29" t="s">
        <v>108</v>
      </c>
      <c r="B29" s="14">
        <v>0</v>
      </c>
      <c r="D29" t="s">
        <v>47</v>
      </c>
      <c r="F29" s="3">
        <v>3084</v>
      </c>
      <c r="G29" t="s">
        <v>38</v>
      </c>
    </row>
    <row r="30" spans="1:8" x14ac:dyDescent="0.25">
      <c r="A30" t="s">
        <v>120</v>
      </c>
      <c r="B30" s="14">
        <f>(84*4)/1878</f>
        <v>0.17891373801916932</v>
      </c>
      <c r="D30" t="s">
        <v>9</v>
      </c>
      <c r="F30" s="3">
        <v>3084</v>
      </c>
      <c r="G30" t="s">
        <v>38</v>
      </c>
    </row>
    <row r="31" spans="1:8" x14ac:dyDescent="0.25">
      <c r="B31" s="14"/>
      <c r="F31" s="3"/>
    </row>
    <row r="32" spans="1:8" x14ac:dyDescent="0.25">
      <c r="B32" s="14"/>
      <c r="F32" s="3"/>
    </row>
    <row r="33" spans="1:8" x14ac:dyDescent="0.25">
      <c r="B33" s="14"/>
      <c r="G33" s="3"/>
    </row>
    <row r="34" spans="1:8" x14ac:dyDescent="0.25">
      <c r="G34" s="3"/>
    </row>
    <row r="35" spans="1:8" x14ac:dyDescent="0.25">
      <c r="G35" s="3"/>
    </row>
    <row r="36" spans="1:8" x14ac:dyDescent="0.25">
      <c r="A36" s="7" t="s">
        <v>10</v>
      </c>
      <c r="G36" s="3"/>
    </row>
    <row r="37" spans="1:8" x14ac:dyDescent="0.25">
      <c r="A37" t="s">
        <v>11</v>
      </c>
      <c r="F37" s="4">
        <v>0.08</v>
      </c>
    </row>
    <row r="38" spans="1:8" x14ac:dyDescent="0.25">
      <c r="A38" t="s">
        <v>12</v>
      </c>
      <c r="F38" s="4">
        <v>7.0499999999999993E-2</v>
      </c>
    </row>
    <row r="39" spans="1:8" x14ac:dyDescent="0.25">
      <c r="A39" t="s">
        <v>121</v>
      </c>
      <c r="F39" s="4">
        <v>0.18</v>
      </c>
    </row>
    <row r="40" spans="1:8" x14ac:dyDescent="0.25">
      <c r="A40" t="s">
        <v>13</v>
      </c>
      <c r="F40" s="4">
        <v>0.16</v>
      </c>
    </row>
    <row r="41" spans="1:8" x14ac:dyDescent="0.25">
      <c r="A41" t="s">
        <v>14</v>
      </c>
      <c r="F41" s="4">
        <v>8.2500000000000004E-2</v>
      </c>
    </row>
    <row r="42" spans="1:8" hidden="1" x14ac:dyDescent="0.25">
      <c r="A42" t="s">
        <v>15</v>
      </c>
      <c r="F42" s="4">
        <v>0</v>
      </c>
    </row>
    <row r="43" spans="1:8" hidden="1" x14ac:dyDescent="0.25">
      <c r="A43" t="s">
        <v>16</v>
      </c>
      <c r="F43" s="4">
        <v>4.7E-2</v>
      </c>
    </row>
    <row r="44" spans="1:8" hidden="1" x14ac:dyDescent="0.25">
      <c r="A44" t="s">
        <v>17</v>
      </c>
      <c r="F44" s="4">
        <v>0</v>
      </c>
    </row>
    <row r="45" spans="1:8" hidden="1" x14ac:dyDescent="0.25">
      <c r="A45" t="s">
        <v>18</v>
      </c>
      <c r="F45" s="4">
        <v>7.2749999999999995E-2</v>
      </c>
      <c r="H45" s="21"/>
    </row>
    <row r="46" spans="1:8" hidden="1" x14ac:dyDescent="0.25">
      <c r="A46" t="s">
        <v>19</v>
      </c>
      <c r="F46" s="4">
        <v>0</v>
      </c>
      <c r="H46" s="3"/>
    </row>
    <row r="47" spans="1:8" hidden="1" x14ac:dyDescent="0.25">
      <c r="A47" t="s">
        <v>20</v>
      </c>
      <c r="F47" s="12">
        <v>0</v>
      </c>
      <c r="H47" s="3"/>
    </row>
    <row r="48" spans="1:8" hidden="1" x14ac:dyDescent="0.25">
      <c r="A48" t="s">
        <v>21</v>
      </c>
      <c r="F48" s="3">
        <v>0</v>
      </c>
      <c r="H48" s="3"/>
    </row>
    <row r="49" spans="1:8" x14ac:dyDescent="0.25">
      <c r="A49" t="s">
        <v>127</v>
      </c>
      <c r="F49" s="4">
        <v>0.16500000000000001</v>
      </c>
      <c r="H49" s="3"/>
    </row>
    <row r="50" spans="1:8" x14ac:dyDescent="0.25">
      <c r="F50" s="4"/>
      <c r="H50" s="3"/>
    </row>
    <row r="53" spans="1:8" x14ac:dyDescent="0.25">
      <c r="A53" s="1" t="s">
        <v>22</v>
      </c>
      <c r="D53" s="10"/>
    </row>
    <row r="54" spans="1:8" x14ac:dyDescent="0.25">
      <c r="D54" s="10" t="s">
        <v>119</v>
      </c>
    </row>
    <row r="55" spans="1:8" hidden="1" x14ac:dyDescent="0.25">
      <c r="A55" t="s">
        <v>23</v>
      </c>
      <c r="D55" s="3">
        <f>(F12+F15+F16+F17)*0.875</f>
        <v>12274.5</v>
      </c>
    </row>
    <row r="56" spans="1:8" hidden="1" x14ac:dyDescent="0.25">
      <c r="A56" t="s">
        <v>24</v>
      </c>
      <c r="D56" s="11">
        <f>(F13+F16+F17+F18)*0.125</f>
        <v>1753.5</v>
      </c>
    </row>
    <row r="57" spans="1:8" x14ac:dyDescent="0.25">
      <c r="A57" t="s">
        <v>0</v>
      </c>
      <c r="D57" s="3">
        <f>D55+D56</f>
        <v>14028</v>
      </c>
    </row>
    <row r="58" spans="1:8" x14ac:dyDescent="0.25">
      <c r="D58" s="3"/>
    </row>
    <row r="59" spans="1:8" x14ac:dyDescent="0.25">
      <c r="A59" t="s">
        <v>25</v>
      </c>
      <c r="D59" s="3">
        <f>((F28*B28*12)+(F29*B29*12)+(F30*B30*12)+(F31*B31*12)+(F32*B32*12)+((F28*B28*12)+(F29*B29*12)+(F30*B30*12)+(F31*B31*12)+(F32*B32*12))*F37+((F28*B28*12)+(F29*B29*12)+(F30*B30*12)+(F31*B31*12)+(F32*B32*12))*F38+((F29*B29*12)+(B31*F31*12)+(B30*F30*12)+(F32*B32*12))*F39)</f>
        <v>8809.5593099041544</v>
      </c>
    </row>
    <row r="60" spans="1:8" x14ac:dyDescent="0.25">
      <c r="A60" t="s">
        <v>26</v>
      </c>
      <c r="D60" s="11">
        <f>D59*F41+D59*F40+F32*F40*F41</f>
        <v>2136.3181326517574</v>
      </c>
    </row>
    <row r="61" spans="1:8" x14ac:dyDescent="0.25">
      <c r="A61" t="s">
        <v>27</v>
      </c>
      <c r="D61" s="3">
        <f>D59+D60</f>
        <v>10945.877442555911</v>
      </c>
    </row>
    <row r="62" spans="1:8" x14ac:dyDescent="0.25">
      <c r="D62" s="3"/>
    </row>
    <row r="63" spans="1:8" x14ac:dyDescent="0.25">
      <c r="A63" t="s">
        <v>28</v>
      </c>
      <c r="D63" s="3">
        <f>F42*D61</f>
        <v>0</v>
      </c>
    </row>
    <row r="64" spans="1:8" x14ac:dyDescent="0.25">
      <c r="A64" t="s">
        <v>29</v>
      </c>
      <c r="D64" s="3">
        <f>84*7.95</f>
        <v>667.80000000000007</v>
      </c>
      <c r="E64" s="13" t="s">
        <v>128</v>
      </c>
    </row>
    <row r="65" spans="1:5" x14ac:dyDescent="0.25">
      <c r="A65" t="s">
        <v>30</v>
      </c>
      <c r="D65" s="3">
        <f>F44*(D57+F57)</f>
        <v>0</v>
      </c>
    </row>
    <row r="66" spans="1:5" x14ac:dyDescent="0.25">
      <c r="A66" t="s">
        <v>31</v>
      </c>
      <c r="D66" s="3">
        <v>0</v>
      </c>
      <c r="E66" s="13"/>
    </row>
    <row r="67" spans="1:5" x14ac:dyDescent="0.25">
      <c r="A67" t="s">
        <v>41</v>
      </c>
      <c r="D67" s="3">
        <f>(F46*(D57+F57))/2</f>
        <v>0</v>
      </c>
    </row>
    <row r="68" spans="1:5" x14ac:dyDescent="0.25">
      <c r="A68" t="s">
        <v>42</v>
      </c>
      <c r="D68" s="3">
        <v>0</v>
      </c>
    </row>
    <row r="69" spans="1:5" x14ac:dyDescent="0.25">
      <c r="A69" t="s">
        <v>32</v>
      </c>
      <c r="D69" s="11">
        <v>0</v>
      </c>
    </row>
    <row r="70" spans="1:5" x14ac:dyDescent="0.25">
      <c r="A70" t="s">
        <v>33</v>
      </c>
      <c r="D70" s="3">
        <f>SUM(D63:D69)</f>
        <v>667.80000000000007</v>
      </c>
    </row>
    <row r="71" spans="1:5" x14ac:dyDescent="0.25">
      <c r="D71" s="3"/>
    </row>
    <row r="72" spans="1:5" x14ac:dyDescent="0.25">
      <c r="A72" t="s">
        <v>34</v>
      </c>
      <c r="D72" s="3">
        <f>D57-D61-D70</f>
        <v>2414.3225574440885</v>
      </c>
    </row>
    <row r="73" spans="1:5" x14ac:dyDescent="0.25">
      <c r="A73" t="s">
        <v>35</v>
      </c>
      <c r="D73" s="3">
        <f>D57*F49+D57*F50+1/9*(F49*D56+F50*D56)</f>
        <v>2346.7674999999999</v>
      </c>
      <c r="E73" s="3"/>
    </row>
    <row r="74" spans="1:5" ht="15.75" thickBot="1" x14ac:dyDescent="0.3">
      <c r="A74" t="s">
        <v>36</v>
      </c>
      <c r="D74" s="8">
        <f>D72-D73</f>
        <v>67.555057444088561</v>
      </c>
    </row>
    <row r="75" spans="1:5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50" max="16383" man="1"/>
  </rowBreaks>
  <colBreaks count="1" manualBreakCount="1">
    <brk id="9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selection activeCell="E42" sqref="E42"/>
    </sheetView>
  </sheetViews>
  <sheetFormatPr defaultRowHeight="15" x14ac:dyDescent="0.25"/>
  <cols>
    <col min="2" max="2" width="22" bestFit="1" customWidth="1"/>
    <col min="3" max="3" width="39.140625" bestFit="1" customWidth="1"/>
    <col min="4" max="4" width="26.140625" bestFit="1" customWidth="1"/>
    <col min="5" max="5" width="32.5703125" bestFit="1" customWidth="1"/>
    <col min="6" max="6" width="7" bestFit="1" customWidth="1"/>
    <col min="8" max="8" width="11.5703125" bestFit="1" customWidth="1"/>
  </cols>
  <sheetData>
    <row r="1" spans="1:4" x14ac:dyDescent="0.25">
      <c r="A1" t="s">
        <v>50</v>
      </c>
      <c r="B1" s="15" t="s">
        <v>109</v>
      </c>
      <c r="C1" t="s">
        <v>51</v>
      </c>
    </row>
    <row r="3" spans="1:4" x14ac:dyDescent="0.25">
      <c r="B3" s="15" t="s">
        <v>101</v>
      </c>
    </row>
    <row r="4" spans="1:4" x14ac:dyDescent="0.25">
      <c r="B4" t="s">
        <v>103</v>
      </c>
      <c r="C4">
        <v>10</v>
      </c>
      <c r="D4" t="s">
        <v>48</v>
      </c>
    </row>
    <row r="5" spans="1:4" x14ac:dyDescent="0.25">
      <c r="B5" t="s">
        <v>52</v>
      </c>
      <c r="C5">
        <v>0</v>
      </c>
      <c r="D5" t="s">
        <v>48</v>
      </c>
    </row>
    <row r="6" spans="1:4" x14ac:dyDescent="0.25">
      <c r="B6" t="s">
        <v>53</v>
      </c>
      <c r="C6">
        <v>0</v>
      </c>
      <c r="D6" t="s">
        <v>48</v>
      </c>
    </row>
    <row r="7" spans="1:4" x14ac:dyDescent="0.25">
      <c r="B7" t="s">
        <v>104</v>
      </c>
      <c r="C7">
        <v>6</v>
      </c>
      <c r="D7" t="s">
        <v>48</v>
      </c>
    </row>
    <row r="8" spans="1:4" x14ac:dyDescent="0.25">
      <c r="B8" t="s">
        <v>54</v>
      </c>
      <c r="C8">
        <v>0</v>
      </c>
      <c r="D8" t="s">
        <v>48</v>
      </c>
    </row>
    <row r="10" spans="1:4" x14ac:dyDescent="0.25">
      <c r="B10" t="s">
        <v>55</v>
      </c>
      <c r="C10">
        <f>SUM(C4:C8)</f>
        <v>16</v>
      </c>
      <c r="D10" t="s">
        <v>56</v>
      </c>
    </row>
    <row r="11" spans="1:4" x14ac:dyDescent="0.25">
      <c r="C11">
        <f>C10*4</f>
        <v>64</v>
      </c>
      <c r="D11" t="s">
        <v>57</v>
      </c>
    </row>
    <row r="14" spans="1:4" x14ac:dyDescent="0.25">
      <c r="B14" s="15" t="s">
        <v>102</v>
      </c>
    </row>
    <row r="15" spans="1:4" x14ac:dyDescent="0.25">
      <c r="B15" t="s">
        <v>103</v>
      </c>
      <c r="C15">
        <v>10</v>
      </c>
      <c r="D15" t="s">
        <v>48</v>
      </c>
    </row>
    <row r="16" spans="1:4" x14ac:dyDescent="0.25">
      <c r="B16" t="s">
        <v>52</v>
      </c>
      <c r="C16">
        <v>0</v>
      </c>
      <c r="D16" t="s">
        <v>48</v>
      </c>
    </row>
    <row r="17" spans="2:8" x14ac:dyDescent="0.25">
      <c r="B17" t="s">
        <v>53</v>
      </c>
      <c r="C17">
        <v>0</v>
      </c>
      <c r="D17" t="s">
        <v>48</v>
      </c>
    </row>
    <row r="18" spans="2:8" x14ac:dyDescent="0.25">
      <c r="B18" t="s">
        <v>104</v>
      </c>
      <c r="C18">
        <v>6</v>
      </c>
      <c r="D18" t="s">
        <v>48</v>
      </c>
    </row>
    <row r="19" spans="2:8" x14ac:dyDescent="0.25">
      <c r="B19" t="s">
        <v>54</v>
      </c>
      <c r="C19">
        <v>0</v>
      </c>
      <c r="D19" t="s">
        <v>48</v>
      </c>
    </row>
    <row r="21" spans="2:8" x14ac:dyDescent="0.25">
      <c r="B21" t="s">
        <v>55</v>
      </c>
      <c r="C21">
        <f>SUM(C15:C19)</f>
        <v>16</v>
      </c>
      <c r="D21" t="s">
        <v>56</v>
      </c>
    </row>
    <row r="22" spans="2:8" x14ac:dyDescent="0.25">
      <c r="C22">
        <f>C21*3</f>
        <v>48</v>
      </c>
      <c r="D22" t="s">
        <v>57</v>
      </c>
    </row>
    <row r="25" spans="2:8" x14ac:dyDescent="0.25">
      <c r="B25" t="s">
        <v>58</v>
      </c>
      <c r="C25">
        <f>1.5/4*2</f>
        <v>0.75</v>
      </c>
      <c r="D25" t="s">
        <v>59</v>
      </c>
      <c r="E25" t="s">
        <v>105</v>
      </c>
    </row>
    <row r="26" spans="2:8" x14ac:dyDescent="0.25">
      <c r="B26" s="16"/>
    </row>
    <row r="28" spans="2:8" x14ac:dyDescent="0.25">
      <c r="H28" t="s">
        <v>111</v>
      </c>
    </row>
    <row r="29" spans="2:8" x14ac:dyDescent="0.25">
      <c r="B29" s="16" t="s">
        <v>60</v>
      </c>
      <c r="C29" t="s">
        <v>61</v>
      </c>
      <c r="D29">
        <f>SUM(C11,C22,C25,C26)</f>
        <v>112.75</v>
      </c>
      <c r="E29" s="16" t="s">
        <v>62</v>
      </c>
      <c r="F29" s="2">
        <f>D29/36</f>
        <v>3.1319444444444446</v>
      </c>
      <c r="G29" s="16" t="s">
        <v>63</v>
      </c>
      <c r="H29" s="16" t="s">
        <v>112</v>
      </c>
    </row>
    <row r="30" spans="2:8" x14ac:dyDescent="0.25">
      <c r="B30" s="16"/>
      <c r="C30" t="s">
        <v>110</v>
      </c>
      <c r="D30">
        <f>7*4</f>
        <v>28</v>
      </c>
      <c r="E30" s="16" t="s">
        <v>62</v>
      </c>
      <c r="F30" s="2">
        <f>D30/36</f>
        <v>0.77777777777777779</v>
      </c>
      <c r="G30" s="16" t="s">
        <v>63</v>
      </c>
      <c r="H30" s="16"/>
    </row>
    <row r="31" spans="2:8" x14ac:dyDescent="0.25">
      <c r="B31" s="16"/>
      <c r="C31" t="s">
        <v>64</v>
      </c>
      <c r="D31">
        <f>D29+D30</f>
        <v>140.75</v>
      </c>
      <c r="F31" s="2">
        <f>SUM(F29:F30)</f>
        <v>3.9097222222222223</v>
      </c>
      <c r="G31" t="s">
        <v>63</v>
      </c>
    </row>
    <row r="32" spans="2:8" x14ac:dyDescent="0.25">
      <c r="B32" s="16"/>
      <c r="F32" s="2"/>
    </row>
    <row r="33" spans="2:10" x14ac:dyDescent="0.25">
      <c r="B33" s="16"/>
      <c r="F33" s="2"/>
    </row>
    <row r="34" spans="2:10" x14ac:dyDescent="0.25">
      <c r="B34" s="15" t="s">
        <v>65</v>
      </c>
      <c r="I34" t="s">
        <v>66</v>
      </c>
    </row>
    <row r="35" spans="2:10" x14ac:dyDescent="0.25">
      <c r="B35" s="16" t="s">
        <v>67</v>
      </c>
      <c r="C35" s="16" t="s">
        <v>118</v>
      </c>
      <c r="G35" s="16">
        <f>26*1.5*5</f>
        <v>195</v>
      </c>
      <c r="H35" s="16" t="s">
        <v>48</v>
      </c>
      <c r="I35" s="2">
        <f t="shared" ref="I35:I40" si="0">G35/52/36</f>
        <v>0.10416666666666667</v>
      </c>
    </row>
    <row r="36" spans="2:10" x14ac:dyDescent="0.25">
      <c r="B36" s="16" t="s">
        <v>68</v>
      </c>
      <c r="C36" s="16" t="s">
        <v>113</v>
      </c>
      <c r="G36" s="16">
        <f>40*5</f>
        <v>200</v>
      </c>
      <c r="H36" s="16" t="s">
        <v>48</v>
      </c>
      <c r="I36" s="2">
        <f t="shared" si="0"/>
        <v>0.10683760683760685</v>
      </c>
    </row>
    <row r="37" spans="2:10" x14ac:dyDescent="0.25">
      <c r="B37" s="16" t="s">
        <v>69</v>
      </c>
      <c r="C37" s="16" t="s">
        <v>114</v>
      </c>
      <c r="G37">
        <f>4*7*7.2</f>
        <v>201.6</v>
      </c>
      <c r="H37" s="16" t="s">
        <v>48</v>
      </c>
      <c r="I37" s="2">
        <f t="shared" si="0"/>
        <v>0.1076923076923077</v>
      </c>
    </row>
    <row r="38" spans="2:10" x14ac:dyDescent="0.25">
      <c r="B38" s="16" t="s">
        <v>70</v>
      </c>
      <c r="C38" s="16" t="s">
        <v>115</v>
      </c>
      <c r="G38">
        <f>4*144</f>
        <v>576</v>
      </c>
      <c r="H38" s="16" t="s">
        <v>48</v>
      </c>
      <c r="I38" s="2">
        <f t="shared" si="0"/>
        <v>0.30769230769230771</v>
      </c>
    </row>
    <row r="39" spans="2:10" x14ac:dyDescent="0.25">
      <c r="B39" s="16" t="s">
        <v>71</v>
      </c>
      <c r="C39" s="16" t="s">
        <v>116</v>
      </c>
      <c r="G39">
        <f>4*57</f>
        <v>228</v>
      </c>
      <c r="H39" s="16" t="s">
        <v>48</v>
      </c>
      <c r="I39" s="2">
        <f t="shared" si="0"/>
        <v>0.12179487179487181</v>
      </c>
    </row>
    <row r="40" spans="2:10" x14ac:dyDescent="0.25">
      <c r="B40" s="16" t="s">
        <v>72</v>
      </c>
      <c r="C40" s="16" t="s">
        <v>117</v>
      </c>
      <c r="G40">
        <f>4*36*52*0.06</f>
        <v>449.28</v>
      </c>
      <c r="H40" s="16" t="s">
        <v>48</v>
      </c>
      <c r="I40" s="2">
        <f t="shared" si="0"/>
        <v>0.23999999999999996</v>
      </c>
    </row>
    <row r="41" spans="2:10" x14ac:dyDescent="0.25">
      <c r="I41" s="2"/>
    </row>
    <row r="42" spans="2:10" x14ac:dyDescent="0.25">
      <c r="I42" s="2"/>
    </row>
    <row r="43" spans="2:10" x14ac:dyDescent="0.25">
      <c r="B43" s="16" t="s">
        <v>55</v>
      </c>
      <c r="G43">
        <f>SUM(G35:G40)</f>
        <v>1849.8799999999999</v>
      </c>
      <c r="H43" s="16" t="s">
        <v>73</v>
      </c>
    </row>
    <row r="44" spans="2:10" x14ac:dyDescent="0.25">
      <c r="G44" s="2">
        <f>G43/52</f>
        <v>35.574615384615385</v>
      </c>
      <c r="H44" s="16" t="s">
        <v>57</v>
      </c>
      <c r="I44" s="2">
        <f>SUM(I36:I41)</f>
        <v>0.88401709401709405</v>
      </c>
      <c r="J44" t="s">
        <v>74</v>
      </c>
    </row>
    <row r="45" spans="2:10" x14ac:dyDescent="0.25">
      <c r="B45" s="16" t="s">
        <v>75</v>
      </c>
      <c r="C45" s="16" t="s">
        <v>106</v>
      </c>
      <c r="G45">
        <f>-18/2</f>
        <v>-9</v>
      </c>
      <c r="H45" s="16" t="s">
        <v>57</v>
      </c>
      <c r="I45">
        <f>G45/36</f>
        <v>-0.25</v>
      </c>
      <c r="J45" t="s">
        <v>76</v>
      </c>
    </row>
    <row r="46" spans="2:10" x14ac:dyDescent="0.25">
      <c r="G46" s="2">
        <f>SUM(G44:G45)</f>
        <v>26.574615384615385</v>
      </c>
      <c r="I46" s="17">
        <f>SUM(I44:I45)</f>
        <v>0.63401709401709405</v>
      </c>
      <c r="J46" s="1" t="s">
        <v>77</v>
      </c>
    </row>
    <row r="48" spans="2:10" x14ac:dyDescent="0.25">
      <c r="B48" s="16" t="s">
        <v>78</v>
      </c>
      <c r="C48" s="16" t="s">
        <v>79</v>
      </c>
      <c r="F48" s="17">
        <f>D31+G44</f>
        <v>176.32461538461538</v>
      </c>
      <c r="G48" s="15" t="s">
        <v>57</v>
      </c>
    </row>
    <row r="49" spans="2:7" x14ac:dyDescent="0.25">
      <c r="B49" s="16"/>
      <c r="C49" s="16"/>
      <c r="F49" s="2"/>
      <c r="G49" s="16"/>
    </row>
    <row r="50" spans="2:7" x14ac:dyDescent="0.25">
      <c r="C50" s="15" t="s">
        <v>80</v>
      </c>
      <c r="D50" s="18">
        <f>F48/36</f>
        <v>4.897905982905983</v>
      </c>
      <c r="E50" t="s">
        <v>81</v>
      </c>
    </row>
    <row r="51" spans="2:7" x14ac:dyDescent="0.25">
      <c r="C51" s="15" t="s">
        <v>82</v>
      </c>
      <c r="D51" s="18">
        <f>I36</f>
        <v>0.10683760683760685</v>
      </c>
      <c r="E51" t="s">
        <v>83</v>
      </c>
    </row>
    <row r="52" spans="2:7" x14ac:dyDescent="0.25">
      <c r="C52" s="15" t="s">
        <v>84</v>
      </c>
      <c r="D52" s="18">
        <f>I37</f>
        <v>0.1076923076923077</v>
      </c>
      <c r="E52" t="s">
        <v>83</v>
      </c>
    </row>
    <row r="53" spans="2:7" x14ac:dyDescent="0.25">
      <c r="C53" s="15" t="s">
        <v>85</v>
      </c>
      <c r="D53" s="18">
        <f>I38</f>
        <v>0.30769230769230771</v>
      </c>
      <c r="E53" t="s">
        <v>83</v>
      </c>
    </row>
    <row r="54" spans="2:7" x14ac:dyDescent="0.25">
      <c r="C54" s="15" t="s">
        <v>71</v>
      </c>
      <c r="D54" s="18">
        <f>I39</f>
        <v>0.12179487179487181</v>
      </c>
      <c r="E54" t="s">
        <v>83</v>
      </c>
    </row>
    <row r="55" spans="2:7" x14ac:dyDescent="0.25">
      <c r="C55" s="15" t="s">
        <v>86</v>
      </c>
      <c r="D55" s="18">
        <f>I40</f>
        <v>0.23999999999999996</v>
      </c>
      <c r="E55" t="s">
        <v>83</v>
      </c>
    </row>
    <row r="56" spans="2:7" x14ac:dyDescent="0.25">
      <c r="C56" s="1" t="s">
        <v>87</v>
      </c>
      <c r="D56" s="1">
        <v>0.28000000000000003</v>
      </c>
      <c r="E56" t="s">
        <v>83</v>
      </c>
    </row>
    <row r="58" spans="2:7" x14ac:dyDescent="0.25">
      <c r="C58" s="15" t="s">
        <v>55</v>
      </c>
      <c r="D58" s="17">
        <f>D50-(SUM(D51:D56))</f>
        <v>3.733888888888889</v>
      </c>
      <c r="E58" s="1" t="s">
        <v>88</v>
      </c>
    </row>
    <row r="64" spans="2:7" x14ac:dyDescent="0.25">
      <c r="B64" t="s">
        <v>89</v>
      </c>
    </row>
    <row r="66" spans="2:5" x14ac:dyDescent="0.25">
      <c r="B66" t="s">
        <v>90</v>
      </c>
      <c r="C66" t="s">
        <v>91</v>
      </c>
      <c r="D66" t="s">
        <v>92</v>
      </c>
    </row>
    <row r="67" spans="2:5" x14ac:dyDescent="0.25">
      <c r="B67" t="s">
        <v>93</v>
      </c>
      <c r="C67" s="10">
        <v>32</v>
      </c>
      <c r="D67" s="19" t="s">
        <v>94</v>
      </c>
    </row>
    <row r="68" spans="2:5" x14ac:dyDescent="0.25">
      <c r="B68" t="s">
        <v>95</v>
      </c>
      <c r="C68" s="10">
        <v>36</v>
      </c>
      <c r="D68" s="19" t="s">
        <v>96</v>
      </c>
    </row>
    <row r="69" spans="2:5" x14ac:dyDescent="0.25">
      <c r="B69" t="s">
        <v>97</v>
      </c>
      <c r="C69" s="10">
        <v>32</v>
      </c>
      <c r="D69" s="19" t="s">
        <v>94</v>
      </c>
    </row>
    <row r="70" spans="2:5" x14ac:dyDescent="0.25">
      <c r="B70" t="s">
        <v>98</v>
      </c>
      <c r="C70" s="10">
        <v>32</v>
      </c>
      <c r="D70" s="19" t="s">
        <v>96</v>
      </c>
    </row>
    <row r="71" spans="2:5" x14ac:dyDescent="0.25">
      <c r="B71" t="s">
        <v>99</v>
      </c>
      <c r="C71" s="10">
        <v>28</v>
      </c>
      <c r="D71" s="19" t="s">
        <v>96</v>
      </c>
    </row>
    <row r="72" spans="2:5" x14ac:dyDescent="0.25">
      <c r="B72" t="s">
        <v>100</v>
      </c>
      <c r="C72" s="10">
        <v>28</v>
      </c>
      <c r="D72" s="19" t="s">
        <v>94</v>
      </c>
    </row>
    <row r="73" spans="2:5" x14ac:dyDescent="0.25">
      <c r="B73" t="s">
        <v>55</v>
      </c>
      <c r="C73" s="10">
        <f>SUM(C67:C72)</f>
        <v>188</v>
      </c>
      <c r="D73" s="19"/>
    </row>
    <row r="74" spans="2:5" x14ac:dyDescent="0.25">
      <c r="C74" s="10"/>
      <c r="D74" s="19"/>
    </row>
    <row r="76" spans="2:5" x14ac:dyDescent="0.25">
      <c r="D76" s="19"/>
    </row>
    <row r="77" spans="2:5" x14ac:dyDescent="0.25">
      <c r="B77" t="s">
        <v>63</v>
      </c>
      <c r="C77" s="2">
        <f>C73/36</f>
        <v>5.2222222222222223</v>
      </c>
      <c r="D77" s="2"/>
      <c r="E77" s="2"/>
    </row>
    <row r="78" spans="2:5" x14ac:dyDescent="0.25">
      <c r="C78" s="2"/>
      <c r="D78" s="2"/>
      <c r="E7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8FE402E7CB7814CB33170A58D92890100BA3020607A4C3947BF05E4FC949A3CA4" ma:contentTypeVersion="" ma:contentTypeDescription="Excel" ma:contentTypeScope="" ma:versionID="258c7d06dcfc27d4c99ca83014d76f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04a9e25aaae7eff654e0e5b9655577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5A7CCE-9764-4419-96DA-CC77E46A315B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AC12EC-8BDD-4D20-B8C2-D40AD809F4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0F1BA0-AAB1-4D10-BF21-451823C85F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6</vt:i4>
      </vt:variant>
    </vt:vector>
  </HeadingPairs>
  <TitlesOfParts>
    <vt:vector size="14" baseType="lpstr">
      <vt:lpstr>Berekening</vt:lpstr>
      <vt:lpstr>Berekening schaal 50</vt:lpstr>
      <vt:lpstr>Berekening slaapdienst gedeeld</vt:lpstr>
      <vt:lpstr>Zorgrooster</vt:lpstr>
      <vt:lpstr> 20,25 per dag en 3,5 uur</vt:lpstr>
      <vt:lpstr> 13,9 per dag en 3,75 uur</vt:lpstr>
      <vt:lpstr> 7,95 per dag en 4 uur</vt:lpstr>
      <vt:lpstr>form</vt:lpstr>
      <vt:lpstr>' 13,9 per dag en 3,75 uur'!Afdrukbereik</vt:lpstr>
      <vt:lpstr>' 20,25 per dag en 3,5 uur'!Afdrukbereik</vt:lpstr>
      <vt:lpstr>' 7,95 per dag en 4 uur'!Afdrukbereik</vt:lpstr>
      <vt:lpstr>Berekening!Afdrukbereik</vt:lpstr>
      <vt:lpstr>'Berekening schaal 50'!Afdrukbereik</vt:lpstr>
      <vt:lpstr>'Berekening slaapdienst gedeeld'!Afdrukbereik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Nijhuis</dc:creator>
  <cp:lastModifiedBy>Sonja Vissia</cp:lastModifiedBy>
  <cp:lastPrinted>2018-08-02T14:00:41Z</cp:lastPrinted>
  <dcterms:created xsi:type="dcterms:W3CDTF">2016-03-15T12:11:35Z</dcterms:created>
  <dcterms:modified xsi:type="dcterms:W3CDTF">2021-06-16T07:08:19Z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0x01010098FE402E7CB7814CB33170A58D92890100BA3020607A4C3947BF05E4FC949A3CA4</vt:lpwstr>
  </property>
  <property fmtid="{D5CDD505-2E9C-101B-9397-08002B2CF9AE}" pid="3" name="Order">
    <vt:r8>100</vt:r8>
  </property>
</Properties>
</file>